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14CC9B4-1E97-4C12-83E8-83C2B9E2D4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岩倉市国保税試算" sheetId="1" r:id="rId1"/>
  </sheets>
  <definedNames>
    <definedName name="_xlnm.Print_Area" localSheetId="0">岩倉市国保税試算!$A$1:$BD$57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Y17" i="1"/>
  <c r="BW19" i="1"/>
  <c r="BW20" i="1"/>
  <c r="BW21" i="1"/>
  <c r="BW22" i="1"/>
  <c r="BW23" i="1"/>
  <c r="BW24" i="1"/>
  <c r="BW18" i="1"/>
  <c r="BU19" i="1"/>
  <c r="BU20" i="1"/>
  <c r="BU21" i="1"/>
  <c r="BU22" i="1"/>
  <c r="BU23" i="1"/>
  <c r="BU24" i="1"/>
  <c r="BU18" i="1"/>
  <c r="BU17" i="1" l="1"/>
  <c r="CZ13" i="1" s="1"/>
  <c r="BW17" i="1"/>
  <c r="CV13" i="1" l="1"/>
  <c r="CV14" i="1" s="1"/>
  <c r="S14" i="1"/>
  <c r="BM37" i="1" l="1"/>
  <c r="BM38" i="1" s="1"/>
  <c r="BL37" i="1"/>
  <c r="BL38" i="1" s="1"/>
  <c r="M10" i="1"/>
  <c r="CK41" i="1" l="1"/>
  <c r="CJ41" i="1"/>
  <c r="CI41" i="1"/>
  <c r="CH41" i="1"/>
  <c r="CG41" i="1"/>
  <c r="CF41" i="1"/>
  <c r="CE41" i="1"/>
  <c r="CD41" i="1"/>
  <c r="CK40" i="1"/>
  <c r="CJ40" i="1"/>
  <c r="CI40" i="1"/>
  <c r="CH40" i="1"/>
  <c r="CG40" i="1"/>
  <c r="CF40" i="1"/>
  <c r="CE40" i="1"/>
  <c r="CD40" i="1"/>
  <c r="CK39" i="1"/>
  <c r="CJ39" i="1"/>
  <c r="CI39" i="1"/>
  <c r="CH39" i="1"/>
  <c r="CG39" i="1"/>
  <c r="CF39" i="1"/>
  <c r="CE39" i="1"/>
  <c r="CD39" i="1"/>
  <c r="CK38" i="1"/>
  <c r="CJ38" i="1"/>
  <c r="CI38" i="1"/>
  <c r="CH38" i="1"/>
  <c r="CG38" i="1"/>
  <c r="CF38" i="1"/>
  <c r="CE38" i="1"/>
  <c r="CD38" i="1"/>
  <c r="CK37" i="1"/>
  <c r="CJ37" i="1"/>
  <c r="CI37" i="1"/>
  <c r="CH37" i="1"/>
  <c r="CG37" i="1"/>
  <c r="CF37" i="1"/>
  <c r="CE37" i="1"/>
  <c r="CD37" i="1"/>
  <c r="CK34" i="1"/>
  <c r="CJ34" i="1"/>
  <c r="CI34" i="1"/>
  <c r="CH34" i="1"/>
  <c r="CG34" i="1"/>
  <c r="CF34" i="1"/>
  <c r="CE34" i="1"/>
  <c r="CD34" i="1"/>
  <c r="CK33" i="1"/>
  <c r="CJ33" i="1"/>
  <c r="CI33" i="1"/>
  <c r="CH33" i="1"/>
  <c r="CG33" i="1"/>
  <c r="CF33" i="1"/>
  <c r="CE33" i="1"/>
  <c r="CD33" i="1"/>
  <c r="CK32" i="1"/>
  <c r="CJ32" i="1"/>
  <c r="CI32" i="1"/>
  <c r="CH32" i="1"/>
  <c r="CG32" i="1"/>
  <c r="CF32" i="1"/>
  <c r="CE32" i="1"/>
  <c r="CD32" i="1"/>
  <c r="CK31" i="1"/>
  <c r="CJ31" i="1"/>
  <c r="CI31" i="1"/>
  <c r="CH31" i="1"/>
  <c r="CG31" i="1"/>
  <c r="CF31" i="1"/>
  <c r="CE31" i="1"/>
  <c r="CD31" i="1"/>
  <c r="CK30" i="1"/>
  <c r="CJ30" i="1"/>
  <c r="CI30" i="1"/>
  <c r="BH22" i="1" s="1"/>
  <c r="CH30" i="1"/>
  <c r="BH21" i="1" s="1"/>
  <c r="CG30" i="1"/>
  <c r="BH20" i="1" s="1"/>
  <c r="CF30" i="1"/>
  <c r="BH19" i="1" s="1"/>
  <c r="CE30" i="1"/>
  <c r="BH18" i="1" s="1"/>
  <c r="CD30" i="1"/>
  <c r="BH17" i="1" s="1"/>
  <c r="CK24" i="1"/>
  <c r="CJ24" i="1"/>
  <c r="CI24" i="1"/>
  <c r="CH24" i="1"/>
  <c r="CG24" i="1"/>
  <c r="CF24" i="1"/>
  <c r="CE24" i="1"/>
  <c r="CD24" i="1"/>
  <c r="BY24" i="1"/>
  <c r="BX24" i="1"/>
  <c r="BV24" i="1"/>
  <c r="BT24" i="1"/>
  <c r="BQ24" i="1"/>
  <c r="BN24" i="1"/>
  <c r="BL24" i="1"/>
  <c r="BK24" i="1"/>
  <c r="BH24" i="1"/>
  <c r="CK23" i="1"/>
  <c r="CJ23" i="1"/>
  <c r="CI23" i="1"/>
  <c r="CH23" i="1"/>
  <c r="CG23" i="1"/>
  <c r="CF23" i="1"/>
  <c r="CE23" i="1"/>
  <c r="CD23" i="1"/>
  <c r="BY23" i="1"/>
  <c r="BX23" i="1"/>
  <c r="BV23" i="1"/>
  <c r="BT23" i="1"/>
  <c r="BQ23" i="1"/>
  <c r="BN23" i="1"/>
  <c r="BL23" i="1"/>
  <c r="BK23" i="1"/>
  <c r="BH23" i="1"/>
  <c r="CK22" i="1"/>
  <c r="CJ22" i="1"/>
  <c r="CI22" i="1"/>
  <c r="CH22" i="1"/>
  <c r="CG22" i="1"/>
  <c r="CF22" i="1"/>
  <c r="CE22" i="1"/>
  <c r="CD22" i="1"/>
  <c r="BY22" i="1"/>
  <c r="BX22" i="1"/>
  <c r="BV22" i="1"/>
  <c r="BT22" i="1"/>
  <c r="BQ22" i="1"/>
  <c r="BN22" i="1"/>
  <c r="BL22" i="1"/>
  <c r="BK22" i="1"/>
  <c r="CK21" i="1"/>
  <c r="CJ21" i="1"/>
  <c r="CI21" i="1"/>
  <c r="CH21" i="1"/>
  <c r="CG21" i="1"/>
  <c r="CF21" i="1"/>
  <c r="CE21" i="1"/>
  <c r="CD21" i="1"/>
  <c r="BY21" i="1"/>
  <c r="BX21" i="1"/>
  <c r="BV21" i="1"/>
  <c r="BT21" i="1"/>
  <c r="BQ21" i="1"/>
  <c r="BN21" i="1"/>
  <c r="BL21" i="1"/>
  <c r="BK21" i="1"/>
  <c r="CK20" i="1"/>
  <c r="CJ20" i="1"/>
  <c r="CI20" i="1"/>
  <c r="CH20" i="1"/>
  <c r="CG20" i="1"/>
  <c r="CF20" i="1"/>
  <c r="CE20" i="1"/>
  <c r="CD20" i="1"/>
  <c r="BY20" i="1"/>
  <c r="BX20" i="1"/>
  <c r="BQ20" i="1"/>
  <c r="BN20" i="1"/>
  <c r="BL20" i="1"/>
  <c r="BK20" i="1"/>
  <c r="CK19" i="1"/>
  <c r="CJ19" i="1"/>
  <c r="CI19" i="1"/>
  <c r="CH19" i="1"/>
  <c r="CG19" i="1"/>
  <c r="CF19" i="1"/>
  <c r="CE19" i="1"/>
  <c r="CD19" i="1"/>
  <c r="BY19" i="1"/>
  <c r="BQ19" i="1"/>
  <c r="BN19" i="1"/>
  <c r="BL19" i="1"/>
  <c r="BK19" i="1"/>
  <c r="CK18" i="1"/>
  <c r="CJ18" i="1"/>
  <c r="CI18" i="1"/>
  <c r="CH18" i="1"/>
  <c r="CG18" i="1"/>
  <c r="CF18" i="1"/>
  <c r="CE18" i="1"/>
  <c r="CD18" i="1"/>
  <c r="BY18" i="1"/>
  <c r="BX18" i="1"/>
  <c r="BQ18" i="1"/>
  <c r="BN18" i="1"/>
  <c r="BL18" i="1"/>
  <c r="BK18" i="1"/>
  <c r="CK17" i="1"/>
  <c r="CJ17" i="1"/>
  <c r="CI17" i="1"/>
  <c r="CH17" i="1"/>
  <c r="CG17" i="1"/>
  <c r="CF17" i="1"/>
  <c r="CE17" i="1"/>
  <c r="CD17" i="1"/>
  <c r="BQ17" i="1"/>
  <c r="BN17" i="1"/>
  <c r="BL17" i="1"/>
  <c r="BK17" i="1"/>
  <c r="CK16" i="1"/>
  <c r="CJ16" i="1"/>
  <c r="CI16" i="1"/>
  <c r="CH16" i="1"/>
  <c r="CG16" i="1"/>
  <c r="CF16" i="1"/>
  <c r="CE16" i="1"/>
  <c r="CD16" i="1"/>
  <c r="CK15" i="1"/>
  <c r="CJ15" i="1"/>
  <c r="CI15" i="1"/>
  <c r="CH15" i="1"/>
  <c r="CG15" i="1"/>
  <c r="CF15" i="1"/>
  <c r="CE15" i="1"/>
  <c r="CD15" i="1"/>
  <c r="CK14" i="1"/>
  <c r="BO24" i="1" s="1"/>
  <c r="BP24" i="1" s="1"/>
  <c r="CJ14" i="1"/>
  <c r="BO23" i="1" s="1"/>
  <c r="BP23" i="1" s="1"/>
  <c r="CI14" i="1"/>
  <c r="BO22" i="1" s="1"/>
  <c r="BP22" i="1" s="1"/>
  <c r="CH14" i="1"/>
  <c r="BO21" i="1" s="1"/>
  <c r="BP21" i="1" s="1"/>
  <c r="CG14" i="1"/>
  <c r="BO20" i="1" s="1"/>
  <c r="BP20" i="1" s="1"/>
  <c r="CF14" i="1"/>
  <c r="CE14" i="1"/>
  <c r="BO18" i="1" s="1"/>
  <c r="BP18" i="1" s="1"/>
  <c r="CD14" i="1"/>
  <c r="BY28" i="1" l="1"/>
  <c r="BN37" i="1"/>
  <c r="BN38" i="1" s="1"/>
  <c r="BO19" i="1"/>
  <c r="BP19" i="1" s="1"/>
  <c r="BR19" i="1" s="1"/>
  <c r="BG19" i="1" s="1"/>
  <c r="BI19" i="1" s="1"/>
  <c r="BO17" i="1"/>
  <c r="BP17" i="1" s="1"/>
  <c r="BR17" i="1" s="1"/>
  <c r="BM18" i="1"/>
  <c r="BM22" i="1"/>
  <c r="BM20" i="1"/>
  <c r="BM19" i="1"/>
  <c r="BM21" i="1"/>
  <c r="BN28" i="1"/>
  <c r="BM23" i="1"/>
  <c r="BM24" i="1"/>
  <c r="BM17" i="1"/>
  <c r="BR21" i="1"/>
  <c r="BG21" i="1" s="1"/>
  <c r="BI21" i="1" s="1"/>
  <c r="BR22" i="1"/>
  <c r="BG22" i="1" s="1"/>
  <c r="BI22" i="1" s="1"/>
  <c r="BR24" i="1"/>
  <c r="BG24" i="1" s="1"/>
  <c r="BI24" i="1" s="1"/>
  <c r="BR18" i="1"/>
  <c r="BG18" i="1" s="1"/>
  <c r="BI18" i="1" s="1"/>
  <c r="BR23" i="1"/>
  <c r="BG23" i="1" s="1"/>
  <c r="BI23" i="1" s="1"/>
  <c r="BR20" i="1"/>
  <c r="BG20" i="1" s="1"/>
  <c r="BI20" i="1" s="1"/>
  <c r="BW28" i="1"/>
  <c r="BU28" i="1"/>
  <c r="BG17" i="1" l="1"/>
  <c r="BI17" i="1" s="1"/>
  <c r="BM28" i="1"/>
  <c r="BT33" i="1" s="1"/>
  <c r="BS21" i="1"/>
  <c r="BJ21" i="1"/>
  <c r="BJ20" i="1"/>
  <c r="BS20" i="1"/>
  <c r="BS24" i="1"/>
  <c r="BJ24" i="1"/>
  <c r="BJ23" i="1"/>
  <c r="BS23" i="1"/>
  <c r="BS22" i="1"/>
  <c r="BJ22" i="1"/>
  <c r="BS19" i="1"/>
  <c r="BJ19" i="1"/>
  <c r="BJ18" i="1"/>
  <c r="BS18" i="1"/>
  <c r="BT20" i="1" l="1"/>
  <c r="BV20" i="1"/>
  <c r="BT19" i="1"/>
  <c r="BX19" i="1"/>
  <c r="BV19" i="1"/>
  <c r="BV18" i="1"/>
  <c r="BT18" i="1"/>
  <c r="BV33" i="1"/>
  <c r="BS17" i="1"/>
  <c r="BS28" i="1" s="1"/>
  <c r="BJ17" i="1"/>
  <c r="BU33" i="1"/>
  <c r="BX17" i="1" l="1"/>
  <c r="BN36" i="1" s="1"/>
  <c r="BN39" i="1" s="1"/>
  <c r="BN40" i="1" s="1"/>
  <c r="BN41" i="1" s="1"/>
  <c r="BN42" i="1" s="1"/>
  <c r="BV17" i="1"/>
  <c r="BT34" i="1"/>
  <c r="BT35" i="1" s="1"/>
  <c r="BT17" i="1"/>
  <c r="BX28" i="1" l="1"/>
  <c r="BK36" i="1"/>
  <c r="AJ40" i="1" s="1"/>
  <c r="BI38" i="1"/>
  <c r="L42" i="1" s="1"/>
  <c r="BJ37" i="1"/>
  <c r="BJ38" i="1"/>
  <c r="X42" i="1" s="1"/>
  <c r="BI37" i="1"/>
  <c r="L41" i="1" s="1"/>
  <c r="BK38" i="1"/>
  <c r="AJ42" i="1" s="1"/>
  <c r="BK37" i="1"/>
  <c r="BT28" i="1"/>
  <c r="BI36" i="1"/>
  <c r="L40" i="1" s="1"/>
  <c r="BL36" i="1"/>
  <c r="BL39" i="1" s="1"/>
  <c r="BL40" i="1" s="1"/>
  <c r="BL41" i="1" s="1"/>
  <c r="BL42" i="1" s="1"/>
  <c r="BJ36" i="1"/>
  <c r="X40" i="1" s="1"/>
  <c r="BM36" i="1"/>
  <c r="BM39" i="1" s="1"/>
  <c r="BM40" i="1" s="1"/>
  <c r="BM41" i="1" s="1"/>
  <c r="BM42" i="1" s="1"/>
  <c r="C54" i="1"/>
  <c r="BV28" i="1"/>
  <c r="C56" i="1" l="1"/>
  <c r="BI39" i="1"/>
  <c r="BI40" i="1" s="1"/>
  <c r="BI41" i="1" s="1"/>
  <c r="BI42" i="1" s="1"/>
  <c r="BJ39" i="1"/>
  <c r="BJ40" i="1" s="1"/>
  <c r="BJ41" i="1" s="1"/>
  <c r="BJ42" i="1" s="1"/>
  <c r="BK39" i="1"/>
  <c r="X41" i="1"/>
  <c r="AJ41" i="1"/>
  <c r="L43" i="1" l="1"/>
  <c r="BK40" i="1"/>
  <c r="BK41" i="1" s="1"/>
  <c r="BK42" i="1" s="1"/>
  <c r="AJ45" i="1" s="1"/>
  <c r="L45" i="1"/>
  <c r="AJ43" i="1"/>
  <c r="X43" i="1"/>
  <c r="X45" i="1"/>
  <c r="C10" i="1" l="1"/>
  <c r="C49" i="1"/>
  <c r="U10" i="1" l="1"/>
  <c r="AM10" i="1" s="1"/>
</calcChain>
</file>

<file path=xl/sharedStrings.xml><?xml version="1.0" encoding="utf-8"?>
<sst xmlns="http://schemas.openxmlformats.org/spreadsheetml/2006/main" count="171" uniqueCount="138">
  <si>
    <t>■年度毎の可変情報（緑色のセルは毎年度見直してください。）</t>
    <rPh sb="1" eb="3">
      <t>ネンド</t>
    </rPh>
    <rPh sb="3" eb="4">
      <t>ゴト</t>
    </rPh>
    <rPh sb="5" eb="7">
      <t>カヘン</t>
    </rPh>
    <rPh sb="7" eb="9">
      <t>ジョウホウ</t>
    </rPh>
    <rPh sb="10" eb="12">
      <t>ミドリイロ</t>
    </rPh>
    <rPh sb="16" eb="19">
      <t>マイネンド</t>
    </rPh>
    <rPh sb="19" eb="21">
      <t>ミナオ</t>
    </rPh>
    <phoneticPr fontId="3"/>
  </si>
  <si>
    <t>医療分</t>
    <rPh sb="0" eb="2">
      <t>イリョウ</t>
    </rPh>
    <rPh sb="2" eb="3">
      <t>ブン</t>
    </rPh>
    <phoneticPr fontId="3"/>
  </si>
  <si>
    <t>支援金等分</t>
    <rPh sb="0" eb="2">
      <t>シエン</t>
    </rPh>
    <rPh sb="2" eb="3">
      <t>キン</t>
    </rPh>
    <rPh sb="3" eb="4">
      <t>トウ</t>
    </rPh>
    <rPh sb="4" eb="5">
      <t>ブン</t>
    </rPh>
    <phoneticPr fontId="3"/>
  </si>
  <si>
    <t>介護分</t>
    <rPh sb="0" eb="2">
      <t>カイゴ</t>
    </rPh>
    <rPh sb="2" eb="3">
      <t>ブン</t>
    </rPh>
    <phoneticPr fontId="3"/>
  </si>
  <si>
    <t>所得割</t>
    <rPh sb="0" eb="2">
      <t>ショトク</t>
    </rPh>
    <rPh sb="2" eb="3">
      <t>ワリ</t>
    </rPh>
    <phoneticPr fontId="3"/>
  </si>
  <si>
    <t>均等割</t>
    <rPh sb="0" eb="3">
      <t>キントウワリ</t>
    </rPh>
    <phoneticPr fontId="3"/>
  </si>
  <si>
    <t>税率</t>
    <rPh sb="0" eb="2">
      <t>ゼイリツ</t>
    </rPh>
    <phoneticPr fontId="3"/>
  </si>
  <si>
    <t>限度額</t>
    <rPh sb="0" eb="2">
      <t>ゲンド</t>
    </rPh>
    <rPh sb="2" eb="3">
      <t>ガク</t>
    </rPh>
    <phoneticPr fontId="3"/>
  </si>
  <si>
    <t>７割</t>
    <rPh sb="1" eb="2">
      <t>ワリ</t>
    </rPh>
    <phoneticPr fontId="3"/>
  </si>
  <si>
    <t>５割</t>
    <rPh sb="1" eb="2">
      <t>ワリ</t>
    </rPh>
    <phoneticPr fontId="3"/>
  </si>
  <si>
    <t>２割</t>
    <rPh sb="1" eb="2">
      <t>ワリ</t>
    </rPh>
    <phoneticPr fontId="3"/>
  </si>
  <si>
    <t>軽減判定の額</t>
    <rPh sb="0" eb="2">
      <t>ケイゲン</t>
    </rPh>
    <rPh sb="2" eb="4">
      <t>ハンテイ</t>
    </rPh>
    <rPh sb="5" eb="6">
      <t>ガク</t>
    </rPh>
    <phoneticPr fontId="3"/>
  </si>
  <si>
    <t>■給与所得速算TBL</t>
    <rPh sb="1" eb="3">
      <t>キュウヨ</t>
    </rPh>
    <rPh sb="3" eb="5">
      <t>ショトク</t>
    </rPh>
    <rPh sb="5" eb="7">
      <t>ソクサン</t>
    </rPh>
    <phoneticPr fontId="3"/>
  </si>
  <si>
    <t>所得計算結果</t>
    <rPh sb="0" eb="2">
      <t>ショトク</t>
    </rPh>
    <rPh sb="2" eb="4">
      <t>ケイサン</t>
    </rPh>
    <rPh sb="4" eb="6">
      <t>ケッカ</t>
    </rPh>
    <phoneticPr fontId="3"/>
  </si>
  <si>
    <t>№</t>
    <phoneticPr fontId="3"/>
  </si>
  <si>
    <t>年金所得</t>
    <rPh sb="0" eb="2">
      <t>ネンキン</t>
    </rPh>
    <rPh sb="2" eb="4">
      <t>ショトク</t>
    </rPh>
    <phoneticPr fontId="3"/>
  </si>
  <si>
    <t>合計所得</t>
    <rPh sb="0" eb="2">
      <t>ゴウケイ</t>
    </rPh>
    <rPh sb="2" eb="4">
      <t>ショトク</t>
    </rPh>
    <phoneticPr fontId="3"/>
  </si>
  <si>
    <t>算定基礎額</t>
    <rPh sb="0" eb="2">
      <t>サンテイ</t>
    </rPh>
    <rPh sb="2" eb="4">
      <t>キソ</t>
    </rPh>
    <rPh sb="4" eb="5">
      <t>ガク</t>
    </rPh>
    <phoneticPr fontId="3"/>
  </si>
  <si>
    <t>給与所得者区分
（1：該当、
0：非該当）</t>
    <rPh sb="0" eb="2">
      <t>キュウヨ</t>
    </rPh>
    <rPh sb="2" eb="4">
      <t>ショトク</t>
    </rPh>
    <rPh sb="4" eb="5">
      <t>シャ</t>
    </rPh>
    <rPh sb="5" eb="7">
      <t>クブン</t>
    </rPh>
    <rPh sb="11" eb="13">
      <t>ガイトウ</t>
    </rPh>
    <rPh sb="17" eb="20">
      <t>ヒガイトウ</t>
    </rPh>
    <phoneticPr fontId="3"/>
  </si>
  <si>
    <t>年金所得者区分
（1：該当、
0：非該当）</t>
    <rPh sb="0" eb="2">
      <t>ネンキン</t>
    </rPh>
    <rPh sb="2" eb="4">
      <t>ショトク</t>
    </rPh>
    <rPh sb="4" eb="5">
      <t>シャ</t>
    </rPh>
    <rPh sb="5" eb="7">
      <t>クブン</t>
    </rPh>
    <rPh sb="11" eb="13">
      <t>ガイトウ</t>
    </rPh>
    <rPh sb="17" eb="20">
      <t>ヒガイトウ</t>
    </rPh>
    <phoneticPr fontId="3"/>
  </si>
  <si>
    <t>給与所得者等区分
（1：該当、
0：非該当）</t>
    <rPh sb="0" eb="2">
      <t>キュウヨ</t>
    </rPh>
    <rPh sb="2" eb="4">
      <t>ショトク</t>
    </rPh>
    <rPh sb="4" eb="5">
      <t>シャ</t>
    </rPh>
    <rPh sb="5" eb="6">
      <t>トウ</t>
    </rPh>
    <rPh sb="6" eb="8">
      <t>クブン</t>
    </rPh>
    <rPh sb="12" eb="14">
      <t>ガイトウ</t>
    </rPh>
    <rPh sb="18" eb="21">
      <t>ヒガイトウ</t>
    </rPh>
    <phoneticPr fontId="3"/>
  </si>
  <si>
    <t>軽減判定区分
（1：該当、
0：非該当）</t>
    <rPh sb="0" eb="2">
      <t>ケイゲン</t>
    </rPh>
    <rPh sb="2" eb="4">
      <t>ハンテイ</t>
    </rPh>
    <rPh sb="4" eb="6">
      <t>クブン</t>
    </rPh>
    <phoneticPr fontId="3"/>
  </si>
  <si>
    <t>所得調整控除額①
（給与収入850万円超で
本人が特別障害者に
該当等）</t>
    <rPh sb="0" eb="2">
      <t>ショトク</t>
    </rPh>
    <rPh sb="2" eb="4">
      <t>チョウセイ</t>
    </rPh>
    <rPh sb="4" eb="6">
      <t>コウジョ</t>
    </rPh>
    <rPh sb="6" eb="7">
      <t>ガク</t>
    </rPh>
    <rPh sb="10" eb="12">
      <t>キュウヨ</t>
    </rPh>
    <rPh sb="12" eb="14">
      <t>シュウニュウ</t>
    </rPh>
    <rPh sb="17" eb="19">
      <t>マンエン</t>
    </rPh>
    <rPh sb="22" eb="24">
      <t>ホンニン</t>
    </rPh>
    <rPh sb="25" eb="27">
      <t>トクベツ</t>
    </rPh>
    <rPh sb="27" eb="30">
      <t>ショウガイシャ</t>
    </rPh>
    <rPh sb="32" eb="34">
      <t>ガイトウ</t>
    </rPh>
    <rPh sb="34" eb="35">
      <t>ナド</t>
    </rPh>
    <phoneticPr fontId="3"/>
  </si>
  <si>
    <t>所得金額
調整控除②</t>
    <rPh sb="0" eb="2">
      <t>ショトク</t>
    </rPh>
    <rPh sb="2" eb="4">
      <t>キンガク</t>
    </rPh>
    <rPh sb="5" eb="7">
      <t>チョウセイ</t>
    </rPh>
    <rPh sb="7" eb="9">
      <t>コウジョ</t>
    </rPh>
    <phoneticPr fontId="3"/>
  </si>
  <si>
    <t>軽減判定所得</t>
    <rPh sb="0" eb="2">
      <t>ケイゲン</t>
    </rPh>
    <rPh sb="2" eb="4">
      <t>ハンテイ</t>
    </rPh>
    <rPh sb="4" eb="6">
      <t>ショトク</t>
    </rPh>
    <phoneticPr fontId="3"/>
  </si>
  <si>
    <t>医療分
所得割額</t>
    <rPh sb="0" eb="2">
      <t>イリョウ</t>
    </rPh>
    <rPh sb="2" eb="3">
      <t>ブン</t>
    </rPh>
    <rPh sb="4" eb="6">
      <t>ショトク</t>
    </rPh>
    <rPh sb="6" eb="7">
      <t>ワリ</t>
    </rPh>
    <rPh sb="7" eb="8">
      <t>ガク</t>
    </rPh>
    <phoneticPr fontId="3"/>
  </si>
  <si>
    <t>医療分
均等割額</t>
    <rPh sb="0" eb="2">
      <t>イリョウ</t>
    </rPh>
    <rPh sb="2" eb="3">
      <t>ブン</t>
    </rPh>
    <rPh sb="4" eb="7">
      <t>キントウワリ</t>
    </rPh>
    <rPh sb="7" eb="8">
      <t>ガク</t>
    </rPh>
    <phoneticPr fontId="3"/>
  </si>
  <si>
    <t>支援等分
所得割額</t>
    <rPh sb="0" eb="2">
      <t>シエン</t>
    </rPh>
    <rPh sb="2" eb="3">
      <t>トウ</t>
    </rPh>
    <rPh sb="3" eb="4">
      <t>ブン</t>
    </rPh>
    <rPh sb="5" eb="7">
      <t>ショトク</t>
    </rPh>
    <rPh sb="7" eb="8">
      <t>ワリ</t>
    </rPh>
    <rPh sb="8" eb="9">
      <t>ガク</t>
    </rPh>
    <phoneticPr fontId="3"/>
  </si>
  <si>
    <t>支援等分
均等割額</t>
    <rPh sb="0" eb="2">
      <t>シエン</t>
    </rPh>
    <rPh sb="2" eb="3">
      <t>トウ</t>
    </rPh>
    <rPh sb="3" eb="4">
      <t>ブン</t>
    </rPh>
    <rPh sb="5" eb="8">
      <t>キントウワリ</t>
    </rPh>
    <rPh sb="8" eb="9">
      <t>ガク</t>
    </rPh>
    <phoneticPr fontId="3"/>
  </si>
  <si>
    <t>介護分
所得割額</t>
    <rPh sb="0" eb="2">
      <t>カイゴ</t>
    </rPh>
    <rPh sb="2" eb="3">
      <t>ブン</t>
    </rPh>
    <rPh sb="4" eb="6">
      <t>ショトク</t>
    </rPh>
    <rPh sb="6" eb="7">
      <t>ワリ</t>
    </rPh>
    <rPh sb="7" eb="8">
      <t>ガク</t>
    </rPh>
    <phoneticPr fontId="3"/>
  </si>
  <si>
    <t>介護分
均等割額</t>
    <rPh sb="0" eb="2">
      <t>カイゴ</t>
    </rPh>
    <rPh sb="2" eb="3">
      <t>ブン</t>
    </rPh>
    <rPh sb="4" eb="7">
      <t>キントウワリ</t>
    </rPh>
    <rPh sb="7" eb="8">
      <t>ガク</t>
    </rPh>
    <phoneticPr fontId="3"/>
  </si>
  <si>
    <t>給与収入の合計額</t>
    <rPh sb="0" eb="2">
      <t>キュウヨ</t>
    </rPh>
    <rPh sb="2" eb="4">
      <t>シュウニュウ</t>
    </rPh>
    <rPh sb="5" eb="7">
      <t>ゴウケイ</t>
    </rPh>
    <rPh sb="7" eb="8">
      <t>ガク</t>
    </rPh>
    <phoneticPr fontId="3"/>
  </si>
  <si>
    <t>給与所得金額</t>
    <rPh sb="0" eb="2">
      <t>キュウヨ</t>
    </rPh>
    <rPh sb="2" eb="4">
      <t>ショトク</t>
    </rPh>
    <rPh sb="4" eb="6">
      <t>キンガク</t>
    </rPh>
    <phoneticPr fontId="3"/>
  </si>
  <si>
    <t>世帯主</t>
    <rPh sb="0" eb="3">
      <t>セタイヌシ</t>
    </rPh>
    <phoneticPr fontId="3"/>
  </si>
  <si>
    <t>加入者A</t>
    <rPh sb="0" eb="3">
      <t>カニュウシャ</t>
    </rPh>
    <phoneticPr fontId="3"/>
  </si>
  <si>
    <t>加入者B</t>
    <rPh sb="0" eb="3">
      <t>カニュウシャ</t>
    </rPh>
    <phoneticPr fontId="3"/>
  </si>
  <si>
    <t>加入者C</t>
    <rPh sb="0" eb="3">
      <t>カニュウシャ</t>
    </rPh>
    <phoneticPr fontId="3"/>
  </si>
  <si>
    <t>加入者D</t>
    <rPh sb="0" eb="3">
      <t>カニュウシャ</t>
    </rPh>
    <phoneticPr fontId="3"/>
  </si>
  <si>
    <t>加入者E</t>
    <rPh sb="0" eb="3">
      <t>カニュウシャ</t>
    </rPh>
    <phoneticPr fontId="3"/>
  </si>
  <si>
    <t>加入者F</t>
    <rPh sb="0" eb="3">
      <t>カニュウシャ</t>
    </rPh>
    <phoneticPr fontId="3"/>
  </si>
  <si>
    <t>加入者G</t>
    <rPh sb="0" eb="3">
      <t>カニュウシャ</t>
    </rPh>
    <phoneticPr fontId="3"/>
  </si>
  <si>
    <t>２．加入者の年齢区分を選択し、各収入金額・所得金額を入力してください。</t>
    <rPh sb="2" eb="4">
      <t>カニュウ</t>
    </rPh>
    <rPh sb="4" eb="5">
      <t>シャ</t>
    </rPh>
    <rPh sb="6" eb="8">
      <t>ネンレイ</t>
    </rPh>
    <rPh sb="8" eb="10">
      <t>クブン</t>
    </rPh>
    <rPh sb="11" eb="13">
      <t>センタク</t>
    </rPh>
    <rPh sb="15" eb="16">
      <t>カク</t>
    </rPh>
    <rPh sb="16" eb="18">
      <t>シュウニュウ</t>
    </rPh>
    <rPh sb="18" eb="19">
      <t>キン</t>
    </rPh>
    <rPh sb="19" eb="20">
      <t>ガク</t>
    </rPh>
    <rPh sb="21" eb="23">
      <t>ショトク</t>
    </rPh>
    <rPh sb="23" eb="25">
      <t>キンガク</t>
    </rPh>
    <rPh sb="25" eb="26">
      <t>ゼイガク</t>
    </rPh>
    <rPh sb="26" eb="28">
      <t>ニュウリョク</t>
    </rPh>
    <phoneticPr fontId="3"/>
  </si>
  <si>
    <t>加入する人</t>
    <rPh sb="0" eb="2">
      <t>カニュウ</t>
    </rPh>
    <rPh sb="4" eb="5">
      <t>ヒト</t>
    </rPh>
    <phoneticPr fontId="3"/>
  </si>
  <si>
    <t>年齢</t>
    <rPh sb="0" eb="2">
      <t>ネンレイ</t>
    </rPh>
    <phoneticPr fontId="3"/>
  </si>
  <si>
    <t>給与収入
(支払金額）</t>
    <rPh sb="0" eb="2">
      <t>キュウヨ</t>
    </rPh>
    <rPh sb="2" eb="4">
      <t>シュウニュウ</t>
    </rPh>
    <rPh sb="6" eb="8">
      <t>シハライ</t>
    </rPh>
    <rPh sb="8" eb="9">
      <t>キン</t>
    </rPh>
    <rPh sb="9" eb="10">
      <t>ガク</t>
    </rPh>
    <phoneticPr fontId="3"/>
  </si>
  <si>
    <t>年金収入
(支給額)</t>
    <rPh sb="0" eb="2">
      <t>ネンキン</t>
    </rPh>
    <rPh sb="2" eb="4">
      <t>シュウニュウ</t>
    </rPh>
    <rPh sb="6" eb="9">
      <t>シキュウガク</t>
    </rPh>
    <phoneticPr fontId="3"/>
  </si>
  <si>
    <t>その他の所得
(雑所得、営業所得、譲渡一時所得等）</t>
    <rPh sb="2" eb="3">
      <t>タ</t>
    </rPh>
    <rPh sb="4" eb="6">
      <t>ショトク</t>
    </rPh>
    <rPh sb="8" eb="11">
      <t>ザツショトク</t>
    </rPh>
    <rPh sb="12" eb="14">
      <t>エイギョウ</t>
    </rPh>
    <rPh sb="14" eb="16">
      <t>ショトク</t>
    </rPh>
    <rPh sb="17" eb="19">
      <t>ジョウト</t>
    </rPh>
    <rPh sb="19" eb="21">
      <t>イチジ</t>
    </rPh>
    <rPh sb="21" eb="23">
      <t>ショトク</t>
    </rPh>
    <rPh sb="23" eb="24">
      <t>ナド</t>
    </rPh>
    <phoneticPr fontId="3"/>
  </si>
  <si>
    <t>倒産・解雇・雇い止めによる離職の場合選択
※2</t>
    <rPh sb="0" eb="2">
      <t>トウサン</t>
    </rPh>
    <rPh sb="3" eb="5">
      <t>カイコ</t>
    </rPh>
    <rPh sb="6" eb="7">
      <t>ヤト</t>
    </rPh>
    <rPh sb="8" eb="9">
      <t>ド</t>
    </rPh>
    <rPh sb="13" eb="15">
      <t>リショク</t>
    </rPh>
    <rPh sb="16" eb="18">
      <t>バアイ</t>
    </rPh>
    <rPh sb="18" eb="20">
      <t>センタク</t>
    </rPh>
    <phoneticPr fontId="3"/>
  </si>
  <si>
    <t>世帯主※1</t>
    <rPh sb="0" eb="3">
      <t>セタイヌシ</t>
    </rPh>
    <phoneticPr fontId="3"/>
  </si>
  <si>
    <t>加入者Ａ</t>
    <rPh sb="0" eb="3">
      <t>カニュウシャ</t>
    </rPh>
    <phoneticPr fontId="3"/>
  </si>
  <si>
    <t>加入者Ｂ</t>
    <rPh sb="0" eb="3">
      <t>カニュウシャ</t>
    </rPh>
    <phoneticPr fontId="3"/>
  </si>
  <si>
    <t>加入者Ｃ</t>
    <rPh sb="0" eb="3">
      <t>カニュウシャ</t>
    </rPh>
    <phoneticPr fontId="3"/>
  </si>
  <si>
    <t>加入者Ｄ</t>
    <rPh sb="0" eb="3">
      <t>カニュウシャ</t>
    </rPh>
    <phoneticPr fontId="3"/>
  </si>
  <si>
    <t>加入者Ｅ</t>
    <rPh sb="0" eb="3">
      <t>カニュウシャ</t>
    </rPh>
    <phoneticPr fontId="3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</si>
  <si>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3"/>
  </si>
  <si>
    <t>軽減対象者数</t>
    <rPh sb="0" eb="2">
      <t>ケイゲン</t>
    </rPh>
    <rPh sb="2" eb="5">
      <t>タイショウシャ</t>
    </rPh>
    <rPh sb="5" eb="6">
      <t>スウ</t>
    </rPh>
    <phoneticPr fontId="3"/>
  </si>
  <si>
    <t>軽減判定所得合計</t>
    <rPh sb="0" eb="2">
      <t>ケイゲン</t>
    </rPh>
    <rPh sb="2" eb="4">
      <t>ハンテイ</t>
    </rPh>
    <rPh sb="4" eb="6">
      <t>ショトク</t>
    </rPh>
    <rPh sb="6" eb="8">
      <t>ゴウケイ</t>
    </rPh>
    <phoneticPr fontId="3"/>
  </si>
  <si>
    <t>医療分
所得割額合計</t>
    <rPh sb="8" eb="10">
      <t>ゴウケイ</t>
    </rPh>
    <phoneticPr fontId="3"/>
  </si>
  <si>
    <t>介護分
均等割額合計</t>
    <phoneticPr fontId="3"/>
  </si>
  <si>
    <t>■年金所得速算TBL（公的年金等雑所得以外の所得に係る合計所得金額が1,000万円以下）</t>
    <rPh sb="1" eb="3">
      <t>ネンキン</t>
    </rPh>
    <rPh sb="3" eb="5">
      <t>ショトク</t>
    </rPh>
    <rPh sb="5" eb="7">
      <t>ソクサン</t>
    </rPh>
    <phoneticPr fontId="3"/>
  </si>
  <si>
    <t>加入者Ｆ</t>
    <rPh sb="0" eb="3">
      <t>カニュウシャ</t>
    </rPh>
    <phoneticPr fontId="3"/>
  </si>
  <si>
    <t>加入者Ｇ</t>
    <rPh sb="0" eb="3">
      <t>カニュウシャ</t>
    </rPh>
    <phoneticPr fontId="3"/>
  </si>
  <si>
    <t>65歳未満</t>
    <rPh sb="2" eb="3">
      <t>サイ</t>
    </rPh>
    <rPh sb="3" eb="5">
      <t>ミマン</t>
    </rPh>
    <phoneticPr fontId="3"/>
  </si>
  <si>
    <t>公的年金等の収入金額の合計額</t>
    <rPh sb="0" eb="2">
      <t>コウテキ</t>
    </rPh>
    <rPh sb="2" eb="4">
      <t>ネンキン</t>
    </rPh>
    <rPh sb="4" eb="5">
      <t>トウ</t>
    </rPh>
    <rPh sb="6" eb="8">
      <t>シュウニュウ</t>
    </rPh>
    <rPh sb="8" eb="10">
      <t>キンガク</t>
    </rPh>
    <rPh sb="11" eb="13">
      <t>ゴウケイ</t>
    </rPh>
    <rPh sb="13" eb="14">
      <t>ガク</t>
    </rPh>
    <phoneticPr fontId="3"/>
  </si>
  <si>
    <t>公的年金等雑所得</t>
    <rPh sb="0" eb="2">
      <t>コウテキ</t>
    </rPh>
    <rPh sb="2" eb="4">
      <t>ネンキン</t>
    </rPh>
    <rPh sb="4" eb="5">
      <t>トウ</t>
    </rPh>
    <rPh sb="5" eb="8">
      <t>ザツショトク</t>
    </rPh>
    <phoneticPr fontId="3"/>
  </si>
  <si>
    <t>７軽</t>
    <rPh sb="1" eb="2">
      <t>ケイ</t>
    </rPh>
    <phoneticPr fontId="3"/>
  </si>
  <si>
    <t>５軽</t>
    <rPh sb="1" eb="2">
      <t>ケイ</t>
    </rPh>
    <phoneticPr fontId="3"/>
  </si>
  <si>
    <t>２軽</t>
    <rPh sb="1" eb="2">
      <t>ケイ</t>
    </rPh>
    <phoneticPr fontId="3"/>
  </si>
  <si>
    <t>◆（参考）積算内訳</t>
    <rPh sb="2" eb="4">
      <t>サンコウ</t>
    </rPh>
    <rPh sb="5" eb="7">
      <t>セキサン</t>
    </rPh>
    <rPh sb="7" eb="9">
      <t>ウチワケ</t>
    </rPh>
    <phoneticPr fontId="3"/>
  </si>
  <si>
    <t>軽減対象所得基準額</t>
    <rPh sb="0" eb="2">
      <t>ケイゲン</t>
    </rPh>
    <rPh sb="2" eb="4">
      <t>タイショウ</t>
    </rPh>
    <rPh sb="4" eb="6">
      <t>ショトク</t>
    </rPh>
    <rPh sb="6" eb="8">
      <t>キジュン</t>
    </rPh>
    <rPh sb="8" eb="9">
      <t>ガク</t>
    </rPh>
    <phoneticPr fontId="3"/>
  </si>
  <si>
    <t>区分</t>
    <rPh sb="0" eb="2">
      <t>クブン</t>
    </rPh>
    <phoneticPr fontId="3"/>
  </si>
  <si>
    <t>軽減あり</t>
    <rPh sb="0" eb="2">
      <t>ケイゲン</t>
    </rPh>
    <phoneticPr fontId="3"/>
  </si>
  <si>
    <t>軽減なし</t>
    <rPh sb="0" eb="2">
      <t>ケイゲン</t>
    </rPh>
    <phoneticPr fontId="3"/>
  </si>
  <si>
    <t>軽減割合</t>
    <rPh sb="0" eb="2">
      <t>ケイゲン</t>
    </rPh>
    <rPh sb="2" eb="4">
      <t>ワリアイ</t>
    </rPh>
    <phoneticPr fontId="3"/>
  </si>
  <si>
    <t>◆計算結果内訳</t>
    <rPh sb="1" eb="3">
      <t>ケイサン</t>
    </rPh>
    <rPh sb="3" eb="5">
      <t>ケッカ</t>
    </rPh>
    <rPh sb="5" eb="7">
      <t>ウチワケ</t>
    </rPh>
    <phoneticPr fontId="3"/>
  </si>
  <si>
    <t>支援分</t>
    <rPh sb="0" eb="2">
      <t>シエン</t>
    </rPh>
    <rPh sb="2" eb="3">
      <t>ブン</t>
    </rPh>
    <phoneticPr fontId="3"/>
  </si>
  <si>
    <t>均等割額の割合</t>
    <rPh sb="0" eb="3">
      <t>キントウワリ</t>
    </rPh>
    <rPh sb="3" eb="4">
      <t>ガク</t>
    </rPh>
    <rPh sb="5" eb="7">
      <t>ワリアイ</t>
    </rPh>
    <phoneticPr fontId="3"/>
  </si>
  <si>
    <t>65歳未満歳以上</t>
    <rPh sb="2" eb="3">
      <t>サイ</t>
    </rPh>
    <rPh sb="3" eb="5">
      <t>ミマン</t>
    </rPh>
    <rPh sb="5" eb="6">
      <t>サイ</t>
    </rPh>
    <rPh sb="6" eb="8">
      <t>イジョウ</t>
    </rPh>
    <phoneticPr fontId="3"/>
  </si>
  <si>
    <t>公的年金等雑所得以外の所得に係る合計所得金額が1,000万円以下として、年金所得を算出しています。</t>
    <rPh sb="0" eb="2">
      <t>コウテキ</t>
    </rPh>
    <rPh sb="2" eb="4">
      <t>ネンキン</t>
    </rPh>
    <rPh sb="4" eb="5">
      <t>トウ</t>
    </rPh>
    <rPh sb="5" eb="8">
      <t>ザツショトク</t>
    </rPh>
    <rPh sb="8" eb="10">
      <t>イガイ</t>
    </rPh>
    <rPh sb="11" eb="13">
      <t>ショトク</t>
    </rPh>
    <rPh sb="14" eb="15">
      <t>カカ</t>
    </rPh>
    <rPh sb="16" eb="18">
      <t>ゴウケイ</t>
    </rPh>
    <rPh sb="18" eb="20">
      <t>ショトク</t>
    </rPh>
    <rPh sb="20" eb="22">
      <t>キンガク</t>
    </rPh>
    <rPh sb="28" eb="32">
      <t>マンエンイカ</t>
    </rPh>
    <rPh sb="36" eb="38">
      <t>ネンキン</t>
    </rPh>
    <rPh sb="38" eb="40">
      <t>ショトク</t>
    </rPh>
    <rPh sb="41" eb="43">
      <t>サンシュツ</t>
    </rPh>
    <phoneticPr fontId="3"/>
  </si>
  <si>
    <t>①所得割額</t>
    <rPh sb="1" eb="3">
      <t>ショトク</t>
    </rPh>
    <rPh sb="3" eb="4">
      <t>ワリ</t>
    </rPh>
    <rPh sb="4" eb="5">
      <t>ガク</t>
    </rPh>
    <phoneticPr fontId="3"/>
  </si>
  <si>
    <t>医療保険分</t>
    <rPh sb="0" eb="2">
      <t>イリョウ</t>
    </rPh>
    <rPh sb="2" eb="4">
      <t>ホケン</t>
    </rPh>
    <rPh sb="4" eb="5">
      <t>ブン</t>
    </rPh>
    <phoneticPr fontId="3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</si>
  <si>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3"/>
  </si>
  <si>
    <t>介護支援金分</t>
    <rPh sb="0" eb="2">
      <t>カイゴ</t>
    </rPh>
    <rPh sb="2" eb="4">
      <t>シエン</t>
    </rPh>
    <rPh sb="4" eb="5">
      <t>キン</t>
    </rPh>
    <rPh sb="5" eb="6">
      <t>ブン</t>
    </rPh>
    <phoneticPr fontId="3"/>
  </si>
  <si>
    <t>②均等割額（軽減あり）</t>
    <rPh sb="1" eb="4">
      <t>キントウワリ</t>
    </rPh>
    <rPh sb="4" eb="5">
      <t>ガク</t>
    </rPh>
    <rPh sb="6" eb="8">
      <t>ケイゲン</t>
    </rPh>
    <phoneticPr fontId="3"/>
  </si>
  <si>
    <t>所得割額(12ヶ月分)･‣</t>
    <rPh sb="0" eb="2">
      <t>ショトク</t>
    </rPh>
    <rPh sb="2" eb="3">
      <t>ワリ</t>
    </rPh>
    <rPh sb="3" eb="4">
      <t>ガク</t>
    </rPh>
    <rPh sb="8" eb="9">
      <t>ゲツ</t>
    </rPh>
    <rPh sb="9" eb="10">
      <t>ブン</t>
    </rPh>
    <phoneticPr fontId="3"/>
  </si>
  <si>
    <t>均等割額(12ヶ月分)･‣</t>
    <rPh sb="0" eb="3">
      <t>キントウワリ</t>
    </rPh>
    <rPh sb="3" eb="4">
      <t>ガク</t>
    </rPh>
    <phoneticPr fontId="3"/>
  </si>
  <si>
    <t>合計(12ヶ月分)･････‣</t>
    <rPh sb="6" eb="7">
      <t>ゲツ</t>
    </rPh>
    <rPh sb="7" eb="8">
      <t>ブン</t>
    </rPh>
    <phoneticPr fontId="3"/>
  </si>
  <si>
    <t>■基礎控除TBL</t>
    <rPh sb="1" eb="3">
      <t>キソ</t>
    </rPh>
    <rPh sb="3" eb="5">
      <t>コウジョ</t>
    </rPh>
    <phoneticPr fontId="3"/>
  </si>
  <si>
    <t>合計(月割分)･･････‣</t>
    <rPh sb="3" eb="5">
      <t>ツキワ</t>
    </rPh>
    <rPh sb="5" eb="6">
      <t>ブン</t>
    </rPh>
    <phoneticPr fontId="3"/>
  </si>
  <si>
    <t>前年の合計所得金額</t>
    <rPh sb="0" eb="2">
      <t>ゼンネン</t>
    </rPh>
    <rPh sb="3" eb="5">
      <t>ゴウケイ</t>
    </rPh>
    <rPh sb="5" eb="7">
      <t>ショトク</t>
    </rPh>
    <rPh sb="7" eb="9">
      <t>キンガク</t>
    </rPh>
    <phoneticPr fontId="3"/>
  </si>
  <si>
    <t>基礎控除額</t>
    <rPh sb="0" eb="2">
      <t>キソ</t>
    </rPh>
    <rPh sb="2" eb="4">
      <t>コウジョ</t>
    </rPh>
    <rPh sb="4" eb="5">
      <t>ガク</t>
    </rPh>
    <phoneticPr fontId="3"/>
  </si>
  <si>
    <t>100円未満切り捨て</t>
  </si>
  <si>
    <t>◆軽減率</t>
    <rPh sb="1" eb="3">
      <t>ケイゲン</t>
    </rPh>
    <rPh sb="3" eb="4">
      <t>リツ</t>
    </rPh>
    <phoneticPr fontId="3"/>
  </si>
  <si>
    <t>ただし、世帯内に所得未申告者の方がいる場合、軽減は適用されません。</t>
    <rPh sb="4" eb="6">
      <t>セタイ</t>
    </rPh>
    <rPh sb="6" eb="7">
      <t>ナイ</t>
    </rPh>
    <rPh sb="8" eb="10">
      <t>ショトク</t>
    </rPh>
    <rPh sb="10" eb="14">
      <t>ミシンコクシャ</t>
    </rPh>
    <rPh sb="15" eb="16">
      <t>カタ</t>
    </rPh>
    <rPh sb="19" eb="21">
      <t>バアイ</t>
    </rPh>
    <rPh sb="22" eb="24">
      <t>ケイゲン</t>
    </rPh>
    <rPh sb="25" eb="27">
      <t>テキヨウ</t>
    </rPh>
    <phoneticPr fontId="3"/>
  </si>
  <si>
    <t>軽減が無い場合、年税額は次の額となります。</t>
    <rPh sb="0" eb="2">
      <t>ケイゲン</t>
    </rPh>
    <rPh sb="3" eb="4">
      <t>ナ</t>
    </rPh>
    <rPh sb="5" eb="7">
      <t>バアイ</t>
    </rPh>
    <rPh sb="8" eb="11">
      <t>ネンゼイガク</t>
    </rPh>
    <rPh sb="12" eb="13">
      <t>ツギ</t>
    </rPh>
    <rPh sb="14" eb="15">
      <t>ガク</t>
    </rPh>
    <phoneticPr fontId="3"/>
  </si>
  <si>
    <t>医療分
均等割額合計</t>
    <phoneticPr fontId="3"/>
  </si>
  <si>
    <t>支援等分
所得割額合計</t>
    <phoneticPr fontId="3"/>
  </si>
  <si>
    <t>支援等分
均等割額合計</t>
    <phoneticPr fontId="3"/>
  </si>
  <si>
    <t>介護分
所得割額合計</t>
    <phoneticPr fontId="3"/>
  </si>
  <si>
    <t>（加入者全員）</t>
    <phoneticPr fontId="3"/>
  </si>
  <si>
    <t>（40歳～65歳未満の加入者）</t>
    <phoneticPr fontId="3"/>
  </si>
  <si>
    <t>3カ月</t>
  </si>
  <si>
    <t>月</t>
    <rPh sb="0" eb="1">
      <t>ガツ</t>
    </rPh>
    <phoneticPr fontId="2"/>
  </si>
  <si>
    <t>加入期間</t>
    <rPh sb="0" eb="2">
      <t>カニュウ</t>
    </rPh>
    <rPh sb="2" eb="4">
      <t>キカン</t>
    </rPh>
    <phoneticPr fontId="2"/>
  </si>
  <si>
    <t>1カ月</t>
  </si>
  <si>
    <t>2カ月</t>
  </si>
  <si>
    <t>4カ月</t>
  </si>
  <si>
    <t>5カ月</t>
  </si>
  <si>
    <t>6カ月</t>
  </si>
  <si>
    <t>7カ月</t>
  </si>
  <si>
    <t>8カ月</t>
  </si>
  <si>
    <t>9カ月</t>
  </si>
  <si>
    <t>10カ月</t>
  </si>
  <si>
    <t>12カ月</t>
    <phoneticPr fontId="2"/>
  </si>
  <si>
    <t>11カ月</t>
    <phoneticPr fontId="2"/>
  </si>
  <si>
    <t>/１カ月あたり</t>
    <phoneticPr fontId="2"/>
  </si>
  <si>
    <t>/1期あたり</t>
    <rPh sb="2" eb="3">
      <t>キ</t>
    </rPh>
    <phoneticPr fontId="2"/>
  </si>
  <si>
    <t>③平等割</t>
    <rPh sb="1" eb="3">
      <t>ビョウドウ</t>
    </rPh>
    <rPh sb="3" eb="4">
      <t>ワリ</t>
    </rPh>
    <phoneticPr fontId="3"/>
  </si>
  <si>
    <t>⑤限度超過額</t>
    <rPh sb="1" eb="3">
      <t>ゲンド</t>
    </rPh>
    <rPh sb="3" eb="5">
      <t>チョウカ</t>
    </rPh>
    <rPh sb="5" eb="6">
      <t>ガク</t>
    </rPh>
    <phoneticPr fontId="3"/>
  </si>
  <si>
    <t>④算出合計額（①＋②＋③）</t>
    <rPh sb="1" eb="3">
      <t>サンシュツ</t>
    </rPh>
    <rPh sb="3" eb="5">
      <t>ゴウケイ</t>
    </rPh>
    <rPh sb="5" eb="6">
      <t>ガク</t>
    </rPh>
    <phoneticPr fontId="3"/>
  </si>
  <si>
    <t>⑥決定保険税額（④－⑤）</t>
    <rPh sb="1" eb="3">
      <t>ケッテイ</t>
    </rPh>
    <rPh sb="3" eb="5">
      <t>ホケン</t>
    </rPh>
    <rPh sb="5" eb="7">
      <t>ゼイガク</t>
    </rPh>
    <rPh sb="6" eb="7">
      <t>ガク</t>
    </rPh>
    <phoneticPr fontId="3"/>
  </si>
  <si>
    <t>⑦月割保険税（⑥×月数÷12）</t>
    <rPh sb="1" eb="3">
      <t>ツキワリ</t>
    </rPh>
    <rPh sb="3" eb="5">
      <t>ホケン</t>
    </rPh>
    <rPh sb="5" eb="6">
      <t>ゼイ</t>
    </rPh>
    <rPh sb="9" eb="11">
      <t>ツキスウ</t>
    </rPh>
    <phoneticPr fontId="3"/>
  </si>
  <si>
    <t>平等割</t>
    <rPh sb="0" eb="2">
      <t>ビョウドウ</t>
    </rPh>
    <rPh sb="2" eb="3">
      <t>ワリ</t>
    </rPh>
    <phoneticPr fontId="2"/>
  </si>
  <si>
    <t>平等割(12ヶ月分)･‣</t>
    <rPh sb="0" eb="2">
      <t>ビョウドウ</t>
    </rPh>
    <rPh sb="2" eb="3">
      <t>ワリ</t>
    </rPh>
    <phoneticPr fontId="3"/>
  </si>
  <si>
    <t>世帯主が国保加入者でない場合選択
※1（A）</t>
    <rPh sb="0" eb="3">
      <t>セタイヌシ</t>
    </rPh>
    <rPh sb="4" eb="6">
      <t>コクホ</t>
    </rPh>
    <rPh sb="6" eb="9">
      <t>カニュウシャ</t>
    </rPh>
    <rPh sb="12" eb="14">
      <t>バアイ</t>
    </rPh>
    <rPh sb="14" eb="16">
      <t>センタク</t>
    </rPh>
    <phoneticPr fontId="3"/>
  </si>
  <si>
    <t>※3…給与収入が850万円超で次のいずれかに該当する場合、「所得金額調整控除該当」を選択してください。</t>
    <phoneticPr fontId="3"/>
  </si>
  <si>
    <r>
      <t>給与所得
（失業軽減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アト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アト</t>
    </rPh>
    <phoneticPr fontId="3"/>
  </si>
  <si>
    <r>
      <t>給与所得
（失業軽減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マエ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マエ</t>
    </rPh>
    <phoneticPr fontId="3"/>
  </si>
  <si>
    <r>
      <t>給与所得
（失業軽減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アト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マエ</t>
    </rPh>
    <phoneticPr fontId="3"/>
  </si>
  <si>
    <t>所得が一定基準以下の場合に平等割・均等割が次の割合で軽減されます。</t>
    <rPh sb="0" eb="2">
      <t>ショトク</t>
    </rPh>
    <rPh sb="3" eb="5">
      <t>イッテイ</t>
    </rPh>
    <rPh sb="5" eb="7">
      <t>キジュン</t>
    </rPh>
    <rPh sb="7" eb="9">
      <t>イカ</t>
    </rPh>
    <rPh sb="10" eb="12">
      <t>バアイ</t>
    </rPh>
    <rPh sb="13" eb="15">
      <t>ビョウドウ</t>
    </rPh>
    <rPh sb="15" eb="16">
      <t>ワリ</t>
    </rPh>
    <rPh sb="17" eb="20">
      <t>キントウワリ</t>
    </rPh>
    <rPh sb="21" eb="22">
      <t>ツギ</t>
    </rPh>
    <rPh sb="23" eb="25">
      <t>ワリアイ</t>
    </rPh>
    <rPh sb="26" eb="28">
      <t>ケイゲン</t>
    </rPh>
    <phoneticPr fontId="3"/>
  </si>
  <si>
    <r>
      <rPr>
        <b/>
        <sz val="14"/>
        <color rgb="FFFF0000"/>
        <rFont val="メイリオ"/>
        <family val="3"/>
        <charset val="128"/>
      </rPr>
      <t>・試算結果は実際の保険税額の決定ではありません。参考としてご利用ください。</t>
    </r>
    <r>
      <rPr>
        <sz val="14"/>
        <color theme="1"/>
        <rFont val="メイリオ"/>
        <family val="3"/>
        <charset val="128"/>
      </rPr>
      <t xml:space="preserve">
・</t>
    </r>
    <r>
      <rPr>
        <sz val="14"/>
        <color rgb="FFFF0000"/>
        <rFont val="メイリオ"/>
        <family val="3"/>
        <charset val="128"/>
      </rPr>
      <t>赤枠</t>
    </r>
    <r>
      <rPr>
        <sz val="14"/>
        <color theme="1"/>
        <rFont val="メイリオ"/>
        <family val="3"/>
        <charset val="128"/>
      </rPr>
      <t>内の該当部分を選択または入力してください。</t>
    </r>
    <rPh sb="9" eb="11">
      <t>ホケン</t>
    </rPh>
    <rPh sb="11" eb="12">
      <t>ゼイ</t>
    </rPh>
    <rPh sb="12" eb="13">
      <t>ガク</t>
    </rPh>
    <rPh sb="39" eb="40">
      <t>アカ</t>
    </rPh>
    <rPh sb="40" eb="41">
      <t>ワク</t>
    </rPh>
    <rPh sb="41" eb="42">
      <t>ナイ</t>
    </rPh>
    <phoneticPr fontId="2"/>
  </si>
  <si>
    <t>所得金額調整控除に該当する場合選択
※3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ガイトウ</t>
    </rPh>
    <rPh sb="13" eb="15">
      <t>バアイ</t>
    </rPh>
    <rPh sb="15" eb="17">
      <t>センタク</t>
    </rPh>
    <phoneticPr fontId="3"/>
  </si>
  <si>
    <t>※2…雇用保険受給資格者かつ離職理由コードが（11.12.21.22.23.31.32.33.34）の方が対象です。（申請が必要です。）</t>
    <rPh sb="3" eb="7">
      <t>コヨウホケン</t>
    </rPh>
    <rPh sb="7" eb="9">
      <t>ジュキュウ</t>
    </rPh>
    <rPh sb="9" eb="11">
      <t>シカク</t>
    </rPh>
    <rPh sb="11" eb="12">
      <t>シャ</t>
    </rPh>
    <rPh sb="14" eb="16">
      <t>リショク</t>
    </rPh>
    <rPh sb="16" eb="18">
      <t>リユウ</t>
    </rPh>
    <rPh sb="51" eb="52">
      <t>カタ</t>
    </rPh>
    <rPh sb="53" eb="55">
      <t>タイショウ</t>
    </rPh>
    <rPh sb="59" eb="61">
      <t>シンセイ</t>
    </rPh>
    <rPh sb="62" eb="64">
      <t>ヒツヨウ</t>
    </rPh>
    <phoneticPr fontId="3"/>
  </si>
  <si>
    <t>「本人が特別障害者に該当」「年齢２３歳未満の扶養親族を有する」「特別障害者である同一生計配偶者もしくは扶養親族を有する」</t>
    <phoneticPr fontId="2"/>
  </si>
  <si>
    <t>※1…軽減判定をするため、加入の有無にかかわらず世帯主の方の収入の入力が必要です。加入しない場合は、（A）「擬制世帯主」を選択してください。</t>
    <rPh sb="3" eb="5">
      <t>ケイゲン</t>
    </rPh>
    <rPh sb="5" eb="7">
      <t>ハンテイ</t>
    </rPh>
    <rPh sb="13" eb="15">
      <t>カニュウ</t>
    </rPh>
    <rPh sb="16" eb="18">
      <t>ウム</t>
    </rPh>
    <rPh sb="24" eb="27">
      <t>セタイヌシ</t>
    </rPh>
    <rPh sb="28" eb="29">
      <t>カタ</t>
    </rPh>
    <rPh sb="30" eb="32">
      <t>シュウニュウ</t>
    </rPh>
    <rPh sb="33" eb="35">
      <t>ニュウリョク</t>
    </rPh>
    <rPh sb="36" eb="38">
      <t>ヒツヨウ</t>
    </rPh>
    <rPh sb="41" eb="43">
      <t>カニュウ</t>
    </rPh>
    <rPh sb="46" eb="48">
      <t>バアイ</t>
    </rPh>
    <phoneticPr fontId="3"/>
  </si>
  <si>
    <t>１．加入月を選択してください。※4月より前に岩倉市の国民健康保険に加入している場合は「4月」としてください。</t>
    <rPh sb="2" eb="4">
      <t>カニュウ</t>
    </rPh>
    <rPh sb="4" eb="5">
      <t>ツキ</t>
    </rPh>
    <rPh sb="6" eb="8">
      <t>センタク</t>
    </rPh>
    <rPh sb="17" eb="18">
      <t>ガツ</t>
    </rPh>
    <rPh sb="20" eb="21">
      <t>マエ</t>
    </rPh>
    <rPh sb="22" eb="25">
      <t>イワクラシ</t>
    </rPh>
    <rPh sb="26" eb="27">
      <t>クニ</t>
    </rPh>
    <rPh sb="27" eb="28">
      <t>ミン</t>
    </rPh>
    <rPh sb="28" eb="30">
      <t>ケンコウ</t>
    </rPh>
    <rPh sb="30" eb="32">
      <t>ホケン</t>
    </rPh>
    <rPh sb="33" eb="35">
      <t>カニュウ</t>
    </rPh>
    <rPh sb="39" eb="41">
      <t>バアイ</t>
    </rPh>
    <rPh sb="44" eb="45">
      <t>ツキ</t>
    </rPh>
    <phoneticPr fontId="3"/>
  </si>
  <si>
    <t>令和7年度　岩倉市国民健康保険税の試算表</t>
    <rPh sb="6" eb="8">
      <t>イワクラ</t>
    </rPh>
    <rPh sb="8" eb="9">
      <t>シ</t>
    </rPh>
    <rPh sb="15" eb="16">
      <t>ゼイ</t>
    </rPh>
    <rPh sb="17" eb="20">
      <t>シサンヒョウ</t>
    </rPh>
    <phoneticPr fontId="3"/>
  </si>
  <si>
    <t>◆令和７年度分の国民健康保険税（年税額）</t>
    <rPh sb="16" eb="19">
      <t>ネンゼイガク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</si>
</sst>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_ ;[Red]\▲#,##0\ &quot;円&quot;"/>
    <numFmt numFmtId="177" formatCode="#,##0&quot;円&quot;"/>
    <numFmt numFmtId="178" formatCode="#,##0_ "/>
    <numFmt numFmtId="179" formatCode="#,##0&quot;人&quot;_ ;[Red]\▲#,##0\ &quot;人&quot;"/>
    <numFmt numFmtId="180" formatCode="##,###&quot;円&quot;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4"/>
      <color theme="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2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rgb="FFFF0000"/>
      </top>
      <bottom style="thin">
        <color theme="0" tint="-0.24994659260841701"/>
      </bottom>
      <diagonal/>
    </border>
    <border>
      <left/>
      <right/>
      <top style="medium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/>
      <right style="medium">
        <color rgb="FFFF0000"/>
      </right>
      <top style="medium">
        <color rgb="FFFF0000"/>
      </top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rgb="FFFF0000"/>
      </bottom>
      <diagonal/>
    </border>
    <border>
      <left/>
      <right/>
      <top style="thin">
        <color theme="0" tint="-0.24994659260841701"/>
      </top>
      <bottom style="medium">
        <color rgb="FFFF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/>
      <right style="medium">
        <color rgb="FFFF0000"/>
      </right>
      <top style="thin">
        <color theme="0" tint="-0.24994659260841701"/>
      </top>
      <bottom style="medium">
        <color rgb="FFFF0000"/>
      </bottom>
      <diagonal/>
    </border>
    <border>
      <left style="medium">
        <color rgb="FFFF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/>
      <top style="thin">
        <color theme="0" tint="-0.24994659260841701"/>
      </top>
      <bottom style="medium">
        <color rgb="FFFF0000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10" fontId="10" fillId="3" borderId="1" xfId="2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176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8" fontId="6" fillId="0" borderId="0" xfId="0" applyNumberFormat="1" applyFont="1" applyAlignment="1" applyProtection="1">
      <alignment vertical="center"/>
    </xf>
    <xf numFmtId="176" fontId="10" fillId="3" borderId="1" xfId="1" applyNumberFormat="1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4" fillId="0" borderId="0" xfId="0" quotePrefix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9" fontId="6" fillId="0" borderId="14" xfId="2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vertical="center"/>
    </xf>
    <xf numFmtId="176" fontId="6" fillId="4" borderId="14" xfId="1" applyNumberFormat="1" applyFont="1" applyFill="1" applyBorder="1" applyProtection="1">
      <alignment vertical="center"/>
    </xf>
    <xf numFmtId="176" fontId="6" fillId="6" borderId="14" xfId="1" applyNumberFormat="1" applyFont="1" applyFill="1" applyBorder="1" applyProtection="1">
      <alignment vertical="center"/>
    </xf>
    <xf numFmtId="176" fontId="6" fillId="0" borderId="15" xfId="1" applyNumberFormat="1" applyFont="1" applyBorder="1" applyProtection="1">
      <alignment vertical="center"/>
    </xf>
    <xf numFmtId="9" fontId="6" fillId="0" borderId="16" xfId="2" applyFont="1" applyBorder="1" applyAlignment="1" applyProtection="1">
      <alignment horizontal="center" vertical="center"/>
    </xf>
    <xf numFmtId="176" fontId="6" fillId="0" borderId="16" xfId="1" applyNumberFormat="1" applyFont="1" applyBorder="1" applyProtection="1">
      <alignment vertical="center"/>
    </xf>
    <xf numFmtId="176" fontId="6" fillId="6" borderId="16" xfId="1" applyNumberFormat="1" applyFont="1" applyFill="1" applyBorder="1" applyProtection="1">
      <alignment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4" borderId="16" xfId="1" applyNumberFormat="1" applyFont="1" applyFill="1" applyBorder="1" applyProtection="1">
      <alignment vertical="center"/>
    </xf>
    <xf numFmtId="176" fontId="6" fillId="0" borderId="25" xfId="1" applyNumberFormat="1" applyFont="1" applyBorder="1" applyProtection="1">
      <alignment vertical="center"/>
    </xf>
    <xf numFmtId="9" fontId="6" fillId="0" borderId="26" xfId="2" applyFont="1" applyBorder="1" applyAlignment="1" applyProtection="1">
      <alignment horizontal="center" vertical="center"/>
    </xf>
    <xf numFmtId="176" fontId="6" fillId="0" borderId="26" xfId="1" applyNumberFormat="1" applyFont="1" applyBorder="1" applyProtection="1">
      <alignment vertical="center"/>
    </xf>
    <xf numFmtId="176" fontId="6" fillId="6" borderId="26" xfId="1" applyNumberFormat="1" applyFont="1" applyFill="1" applyBorder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shrinkToFit="1"/>
    </xf>
    <xf numFmtId="176" fontId="6" fillId="6" borderId="1" xfId="0" applyNumberFormat="1" applyFont="1" applyFill="1" applyBorder="1" applyAlignment="1" applyProtection="1">
      <alignment horizontal="center" vertical="center"/>
    </xf>
    <xf numFmtId="176" fontId="6" fillId="0" borderId="27" xfId="0" applyNumberFormat="1" applyFont="1" applyBorder="1" applyAlignment="1" applyProtection="1">
      <alignment vertical="center"/>
    </xf>
    <xf numFmtId="9" fontId="6" fillId="0" borderId="28" xfId="2" applyFont="1" applyBorder="1" applyAlignment="1" applyProtection="1">
      <alignment horizontal="center" vertical="center"/>
    </xf>
    <xf numFmtId="176" fontId="6" fillId="0" borderId="29" xfId="1" applyNumberFormat="1" applyFont="1" applyBorder="1" applyProtection="1">
      <alignment vertical="center"/>
    </xf>
    <xf numFmtId="176" fontId="7" fillId="0" borderId="29" xfId="0" applyNumberFormat="1" applyFont="1" applyFill="1" applyBorder="1" applyAlignment="1" applyProtection="1">
      <alignment vertical="center"/>
    </xf>
    <xf numFmtId="176" fontId="6" fillId="0" borderId="30" xfId="1" applyNumberFormat="1" applyFont="1" applyBorder="1" applyProtection="1">
      <alignment vertical="center"/>
    </xf>
    <xf numFmtId="9" fontId="6" fillId="0" borderId="31" xfId="2" applyFont="1" applyBorder="1" applyAlignment="1" applyProtection="1">
      <alignment horizontal="center" vertical="center"/>
    </xf>
    <xf numFmtId="176" fontId="6" fillId="0" borderId="32" xfId="1" applyNumberFormat="1" applyFont="1" applyBorder="1" applyProtection="1">
      <alignment vertical="center"/>
    </xf>
    <xf numFmtId="176" fontId="7" fillId="0" borderId="3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176" fontId="6" fillId="0" borderId="36" xfId="1" applyNumberFormat="1" applyFont="1" applyBorder="1" applyProtection="1">
      <alignment vertical="center"/>
    </xf>
    <xf numFmtId="9" fontId="6" fillId="0" borderId="37" xfId="2" applyFont="1" applyBorder="1" applyAlignment="1" applyProtection="1">
      <alignment horizontal="center" vertical="center"/>
    </xf>
    <xf numFmtId="176" fontId="6" fillId="0" borderId="38" xfId="1" applyNumberFormat="1" applyFont="1" applyBorder="1" applyProtection="1">
      <alignment vertical="center"/>
    </xf>
    <xf numFmtId="176" fontId="7" fillId="0" borderId="38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4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9" fontId="6" fillId="0" borderId="1" xfId="2" applyFont="1" applyFill="1" applyBorder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8" fillId="2" borderId="0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horizontal="center" vertical="center"/>
    </xf>
    <xf numFmtId="176" fontId="6" fillId="0" borderId="27" xfId="1" applyNumberFormat="1" applyFont="1" applyBorder="1" applyProtection="1">
      <alignment vertical="center"/>
    </xf>
    <xf numFmtId="9" fontId="6" fillId="0" borderId="27" xfId="2" applyFont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 shrinkToFit="1"/>
    </xf>
    <xf numFmtId="9" fontId="6" fillId="0" borderId="30" xfId="2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5" fillId="0" borderId="44" xfId="0" applyFont="1" applyBorder="1" applyAlignment="1" applyProtection="1">
      <alignment vertical="center"/>
    </xf>
    <xf numFmtId="0" fontId="13" fillId="0" borderId="43" xfId="0" applyFont="1" applyBorder="1" applyAlignment="1" applyProtection="1">
      <alignment vertical="center"/>
    </xf>
    <xf numFmtId="180" fontId="5" fillId="0" borderId="0" xfId="1" applyNumberFormat="1" applyFont="1" applyFill="1" applyBorder="1" applyAlignment="1" applyProtection="1">
      <alignment vertical="center"/>
    </xf>
    <xf numFmtId="180" fontId="5" fillId="0" borderId="44" xfId="1" applyNumberFormat="1" applyFont="1" applyFill="1" applyBorder="1" applyAlignment="1" applyProtection="1">
      <alignment vertical="center"/>
    </xf>
    <xf numFmtId="176" fontId="5" fillId="0" borderId="43" xfId="0" applyNumberFormat="1" applyFont="1" applyBorder="1" applyAlignment="1" applyProtection="1">
      <alignment vertical="top"/>
    </xf>
    <xf numFmtId="177" fontId="5" fillId="0" borderId="0" xfId="0" applyNumberFormat="1" applyFont="1" applyBorder="1" applyAlignment="1" applyProtection="1">
      <alignment vertical="top"/>
    </xf>
    <xf numFmtId="176" fontId="6" fillId="0" borderId="45" xfId="1" applyNumberFormat="1" applyFont="1" applyBorder="1" applyProtection="1">
      <alignment vertical="center"/>
    </xf>
    <xf numFmtId="9" fontId="6" fillId="0" borderId="45" xfId="2" applyFont="1" applyBorder="1" applyAlignment="1" applyProtection="1">
      <alignment horizontal="center" vertical="center"/>
    </xf>
    <xf numFmtId="176" fontId="6" fillId="0" borderId="46" xfId="1" applyNumberFormat="1" applyFont="1" applyBorder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center" vertical="center"/>
    </xf>
    <xf numFmtId="176" fontId="6" fillId="0" borderId="13" xfId="1" applyNumberFormat="1" applyFont="1" applyBorder="1" applyAlignment="1" applyProtection="1">
      <alignment horizontal="right" vertical="center"/>
    </xf>
    <xf numFmtId="176" fontId="6" fillId="0" borderId="13" xfId="0" applyNumberFormat="1" applyFont="1" applyBorder="1" applyAlignment="1" applyProtection="1">
      <alignment horizontal="center" vertical="center"/>
    </xf>
    <xf numFmtId="176" fontId="6" fillId="0" borderId="47" xfId="1" applyNumberFormat="1" applyFont="1" applyBorder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176" fontId="6" fillId="0" borderId="15" xfId="0" applyNumberFormat="1" applyFont="1" applyBorder="1" applyAlignment="1" applyProtection="1">
      <alignment horizontal="center" vertical="center"/>
    </xf>
    <xf numFmtId="176" fontId="6" fillId="0" borderId="48" xfId="1" applyNumberFormat="1" applyFont="1" applyBorder="1" applyProtection="1">
      <alignment vertical="center"/>
    </xf>
    <xf numFmtId="0" fontId="8" fillId="0" borderId="0" xfId="0" applyFont="1" applyAlignment="1" applyProtection="1">
      <alignment horizontal="left" vertical="center"/>
    </xf>
    <xf numFmtId="176" fontId="6" fillId="0" borderId="15" xfId="1" applyNumberFormat="1" applyFont="1" applyFill="1" applyBorder="1" applyProtection="1">
      <alignment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48" xfId="1" applyNumberFormat="1" applyFont="1" applyFill="1" applyBorder="1" applyProtection="1">
      <alignment vertical="center"/>
    </xf>
    <xf numFmtId="176" fontId="6" fillId="0" borderId="25" xfId="1" applyNumberFormat="1" applyFont="1" applyFill="1" applyBorder="1" applyProtection="1">
      <alignment vertical="center"/>
    </xf>
    <xf numFmtId="176" fontId="6" fillId="0" borderId="25" xfId="0" applyNumberFormat="1" applyFont="1" applyFill="1" applyBorder="1" applyAlignment="1" applyProtection="1">
      <alignment horizontal="center" vertical="center"/>
    </xf>
    <xf numFmtId="176" fontId="6" fillId="0" borderId="49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8" fontId="6" fillId="0" borderId="0" xfId="1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180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 shrinkToFit="1"/>
    </xf>
    <xf numFmtId="0" fontId="22" fillId="0" borderId="0" xfId="0" applyFont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44" xfId="0" applyFont="1" applyBorder="1" applyAlignment="1" applyProtection="1">
      <alignment vertical="center" shrinkToFit="1"/>
    </xf>
    <xf numFmtId="176" fontId="5" fillId="0" borderId="8" xfId="0" applyNumberFormat="1" applyFont="1" applyBorder="1" applyAlignment="1" applyProtection="1">
      <alignment vertical="top" shrinkToFit="1"/>
    </xf>
    <xf numFmtId="176" fontId="5" fillId="0" borderId="35" xfId="0" applyNumberFormat="1" applyFont="1" applyBorder="1" applyAlignment="1" applyProtection="1">
      <alignment vertical="top" shrinkToFit="1"/>
    </xf>
    <xf numFmtId="176" fontId="5" fillId="0" borderId="9" xfId="0" applyNumberFormat="1" applyFont="1" applyBorder="1" applyAlignment="1" applyProtection="1">
      <alignment vertical="top" shrinkToFit="1"/>
    </xf>
    <xf numFmtId="177" fontId="12" fillId="11" borderId="8" xfId="0" applyNumberFormat="1" applyFont="1" applyFill="1" applyBorder="1" applyAlignment="1" applyProtection="1">
      <alignment horizontal="center" vertical="center" shrinkToFit="1"/>
    </xf>
    <xf numFmtId="177" fontId="12" fillId="11" borderId="35" xfId="0" applyNumberFormat="1" applyFont="1" applyFill="1" applyBorder="1" applyAlignment="1" applyProtection="1">
      <alignment horizontal="center" vertical="center" shrinkToFit="1"/>
    </xf>
    <xf numFmtId="177" fontId="12" fillId="11" borderId="9" xfId="0" applyNumberFormat="1" applyFont="1" applyFill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7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4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6" xfId="0" applyNumberFormat="1" applyFont="1" applyFill="1" applyBorder="1" applyAlignment="1" applyProtection="1">
      <alignment horizontal="center" vertical="center" shrinkToFit="1"/>
      <protection locked="0"/>
    </xf>
    <xf numFmtId="0" fontId="17" fillId="13" borderId="21" xfId="0" applyFont="1" applyFill="1" applyBorder="1" applyAlignment="1" applyProtection="1">
      <alignment horizontal="distributed" vertical="center"/>
    </xf>
    <xf numFmtId="0" fontId="17" fillId="13" borderId="22" xfId="0" applyFont="1" applyFill="1" applyBorder="1" applyAlignment="1" applyProtection="1">
      <alignment horizontal="distributed" vertical="center"/>
    </xf>
    <xf numFmtId="0" fontId="5" fillId="7" borderId="59" xfId="0" applyFont="1" applyFill="1" applyBorder="1" applyAlignment="1" applyProtection="1">
      <alignment horizontal="center" vertical="center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176" fontId="5" fillId="7" borderId="21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2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3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4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" fillId="7" borderId="22" xfId="0" applyNumberFormat="1" applyFont="1" applyFill="1" applyBorder="1" applyAlignment="1" applyProtection="1">
      <alignment horizontal="center" vertical="center"/>
      <protection locked="0"/>
    </xf>
    <xf numFmtId="0" fontId="5" fillId="7" borderId="60" xfId="0" applyNumberFormat="1" applyFont="1" applyFill="1" applyBorder="1" applyAlignment="1" applyProtection="1">
      <alignment horizontal="center" vertical="center"/>
      <protection locked="0"/>
    </xf>
    <xf numFmtId="177" fontId="5" fillId="11" borderId="3" xfId="0" applyNumberFormat="1" applyFont="1" applyFill="1" applyBorder="1" applyAlignment="1" applyProtection="1">
      <alignment horizontal="center" vertical="center" shrinkToFit="1"/>
    </xf>
    <xf numFmtId="177" fontId="5" fillId="11" borderId="4" xfId="0" applyNumberFormat="1" applyFont="1" applyFill="1" applyBorder="1" applyAlignment="1" applyProtection="1">
      <alignment horizontal="center" vertical="center" shrinkToFit="1"/>
    </xf>
    <xf numFmtId="177" fontId="5" fillId="11" borderId="5" xfId="0" applyNumberFormat="1" applyFont="1" applyFill="1" applyBorder="1" applyAlignment="1" applyProtection="1">
      <alignment horizontal="center" vertical="center" shrinkToFit="1"/>
    </xf>
    <xf numFmtId="0" fontId="5" fillId="11" borderId="3" xfId="0" applyFont="1" applyFill="1" applyBorder="1" applyAlignment="1" applyProtection="1">
      <alignment horizontal="center" vertical="center"/>
    </xf>
    <xf numFmtId="0" fontId="5" fillId="11" borderId="4" xfId="0" applyFont="1" applyFill="1" applyBorder="1" applyAlignment="1" applyProtection="1">
      <alignment horizontal="center" vertical="center"/>
    </xf>
    <xf numFmtId="0" fontId="5" fillId="11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7" borderId="50" xfId="0" applyFont="1" applyFill="1" applyBorder="1" applyAlignment="1" applyProtection="1">
      <alignment horizontal="center" vertical="center"/>
      <protection locked="0"/>
    </xf>
    <xf numFmtId="0" fontId="5" fillId="7" borderId="51" xfId="0" applyFont="1" applyFill="1" applyBorder="1" applyAlignment="1" applyProtection="1">
      <alignment horizontal="center" vertical="center"/>
      <protection locked="0"/>
    </xf>
    <xf numFmtId="0" fontId="5" fillId="7" borderId="5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8" borderId="43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44" xfId="0" applyFont="1" applyFill="1" applyBorder="1" applyAlignment="1" applyProtection="1">
      <alignment horizontal="center" vertical="center"/>
    </xf>
    <xf numFmtId="0" fontId="5" fillId="9" borderId="43" xfId="0" applyFont="1" applyFill="1" applyBorder="1" applyAlignment="1" applyProtection="1">
      <alignment horizontal="center" vertical="center" shrinkToFit="1"/>
    </xf>
    <xf numFmtId="0" fontId="5" fillId="9" borderId="0" xfId="0" applyFont="1" applyFill="1" applyBorder="1" applyAlignment="1" applyProtection="1">
      <alignment horizontal="center" vertical="center" shrinkToFit="1"/>
    </xf>
    <xf numFmtId="0" fontId="5" fillId="9" borderId="44" xfId="0" applyFont="1" applyFill="1" applyBorder="1" applyAlignment="1" applyProtection="1">
      <alignment horizontal="center" vertical="center" shrinkToFit="1"/>
    </xf>
    <xf numFmtId="0" fontId="5" fillId="10" borderId="43" xfId="0" applyFont="1" applyFill="1" applyBorder="1" applyAlignment="1" applyProtection="1">
      <alignment horizontal="center" vertical="center" shrinkToFit="1"/>
    </xf>
    <xf numFmtId="0" fontId="5" fillId="1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44" xfId="0" applyFont="1" applyBorder="1" applyAlignment="1" applyProtection="1">
      <alignment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35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76" fontId="6" fillId="5" borderId="8" xfId="1" applyNumberFormat="1" applyFont="1" applyFill="1" applyBorder="1" applyAlignment="1" applyProtection="1">
      <alignment horizontal="center" vertical="center"/>
    </xf>
    <xf numFmtId="176" fontId="6" fillId="5" borderId="35" xfId="1" applyNumberFormat="1" applyFont="1" applyFill="1" applyBorder="1" applyAlignment="1" applyProtection="1">
      <alignment horizontal="center" vertical="center"/>
    </xf>
    <xf numFmtId="176" fontId="6" fillId="5" borderId="9" xfId="1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5" fillId="8" borderId="33" xfId="0" applyFont="1" applyFill="1" applyBorder="1" applyAlignment="1" applyProtection="1">
      <alignment horizontal="center" vertical="center"/>
    </xf>
    <xf numFmtId="0" fontId="5" fillId="8" borderId="42" xfId="0" applyFont="1" applyFill="1" applyBorder="1" applyAlignment="1" applyProtection="1">
      <alignment horizontal="center" vertical="center"/>
    </xf>
    <xf numFmtId="0" fontId="5" fillId="8" borderId="34" xfId="0" applyFont="1" applyFill="1" applyBorder="1" applyAlignment="1" applyProtection="1">
      <alignment horizontal="center" vertical="center"/>
    </xf>
    <xf numFmtId="0" fontId="5" fillId="9" borderId="33" xfId="0" applyFont="1" applyFill="1" applyBorder="1" applyAlignment="1" applyProtection="1">
      <alignment horizontal="center" vertical="center" shrinkToFit="1"/>
    </xf>
    <xf numFmtId="0" fontId="5" fillId="9" borderId="42" xfId="0" applyFont="1" applyFill="1" applyBorder="1" applyAlignment="1" applyProtection="1">
      <alignment horizontal="center" vertical="center" shrinkToFit="1"/>
    </xf>
    <xf numFmtId="0" fontId="5" fillId="9" borderId="34" xfId="0" applyFont="1" applyFill="1" applyBorder="1" applyAlignment="1" applyProtection="1">
      <alignment horizontal="center" vertical="center" shrinkToFit="1"/>
    </xf>
    <xf numFmtId="0" fontId="5" fillId="10" borderId="33" xfId="0" applyFont="1" applyFill="1" applyBorder="1" applyAlignment="1" applyProtection="1">
      <alignment horizontal="center" vertical="center"/>
    </xf>
    <xf numFmtId="0" fontId="5" fillId="10" borderId="42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34" xfId="0" applyFont="1" applyFill="1" applyBorder="1" applyAlignment="1" applyProtection="1">
      <alignment horizontal="center" vertical="center"/>
    </xf>
    <xf numFmtId="0" fontId="5" fillId="5" borderId="39" xfId="0" applyFont="1" applyFill="1" applyBorder="1" applyAlignment="1" applyProtection="1">
      <alignment horizontal="center" vertical="center"/>
    </xf>
    <xf numFmtId="0" fontId="5" fillId="5" borderId="40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vertical="center"/>
    </xf>
    <xf numFmtId="0" fontId="5" fillId="7" borderId="61" xfId="0" applyFont="1" applyFill="1" applyBorder="1" applyAlignment="1" applyProtection="1">
      <alignment horizontal="center" vertical="center"/>
      <protection locked="0"/>
    </xf>
    <xf numFmtId="0" fontId="5" fillId="7" borderId="62" xfId="0" applyFont="1" applyFill="1" applyBorder="1" applyAlignment="1" applyProtection="1">
      <alignment horizontal="center" vertical="center"/>
      <protection locked="0"/>
    </xf>
    <xf numFmtId="176" fontId="5" fillId="7" borderId="63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4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5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2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63" xfId="0" applyNumberFormat="1" applyFont="1" applyFill="1" applyBorder="1" applyAlignment="1" applyProtection="1">
      <alignment horizontal="center" vertical="center"/>
      <protection locked="0"/>
    </xf>
    <xf numFmtId="0" fontId="5" fillId="7" borderId="64" xfId="0" applyNumberFormat="1" applyFont="1" applyFill="1" applyBorder="1" applyAlignment="1" applyProtection="1">
      <alignment horizontal="center" vertical="center"/>
      <protection locked="0"/>
    </xf>
    <xf numFmtId="0" fontId="5" fillId="7" borderId="66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5" fillId="7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0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5" fillId="12" borderId="69" xfId="0" applyFont="1" applyFill="1" applyBorder="1" applyAlignment="1" applyProtection="1">
      <alignment horizontal="center" vertical="center" wrapText="1"/>
    </xf>
    <xf numFmtId="0" fontId="5" fillId="12" borderId="70" xfId="0" applyFont="1" applyFill="1" applyBorder="1" applyAlignment="1" applyProtection="1">
      <alignment horizontal="center" vertical="center" wrapText="1"/>
    </xf>
    <xf numFmtId="0" fontId="17" fillId="13" borderId="19" xfId="0" applyFont="1" applyFill="1" applyBorder="1" applyAlignment="1" applyProtection="1">
      <alignment horizontal="distributed" vertical="center"/>
    </xf>
    <xf numFmtId="0" fontId="17" fillId="13" borderId="20" xfId="0" applyFont="1" applyFill="1" applyBorder="1" applyAlignment="1" applyProtection="1">
      <alignment horizontal="distributed" vertical="center"/>
    </xf>
    <xf numFmtId="0" fontId="5" fillId="7" borderId="53" xfId="0" applyFont="1" applyFill="1" applyBorder="1" applyAlignment="1" applyProtection="1">
      <alignment horizontal="center" vertical="center"/>
      <protection locked="0"/>
    </xf>
    <xf numFmtId="0" fontId="5" fillId="7" borderId="54" xfId="0" applyFont="1" applyFill="1" applyBorder="1" applyAlignment="1" applyProtection="1">
      <alignment horizontal="center" vertical="center"/>
      <protection locked="0"/>
    </xf>
    <xf numFmtId="176" fontId="5" fillId="7" borderId="55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6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7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4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55" xfId="0" applyNumberFormat="1" applyFont="1" applyFill="1" applyBorder="1" applyAlignment="1" applyProtection="1">
      <alignment horizontal="center" vertical="center"/>
      <protection locked="0"/>
    </xf>
    <xf numFmtId="0" fontId="5" fillId="7" borderId="56" xfId="0" applyNumberFormat="1" applyFont="1" applyFill="1" applyBorder="1" applyAlignment="1" applyProtection="1">
      <alignment horizontal="center" vertical="center"/>
      <protection locked="0"/>
    </xf>
    <xf numFmtId="0" fontId="5" fillId="7" borderId="51" xfId="0" applyNumberFormat="1" applyFont="1" applyFill="1" applyBorder="1" applyAlignment="1" applyProtection="1">
      <alignment horizontal="center" vertical="center"/>
      <protection locked="0"/>
    </xf>
    <xf numFmtId="0" fontId="5" fillId="7" borderId="5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58" xfId="0" applyNumberFormat="1" applyFont="1" applyFill="1" applyBorder="1" applyAlignment="1" applyProtection="1">
      <alignment horizontal="center" vertical="center" shrinkToFit="1"/>
      <protection locked="0"/>
    </xf>
    <xf numFmtId="0" fontId="5" fillId="12" borderId="69" xfId="0" applyFont="1" applyFill="1" applyBorder="1" applyAlignment="1" applyProtection="1">
      <alignment horizontal="center" vertical="center"/>
    </xf>
    <xf numFmtId="0" fontId="5" fillId="12" borderId="70" xfId="0" applyFont="1" applyFill="1" applyBorder="1" applyAlignment="1" applyProtection="1">
      <alignment horizontal="center" vertical="center"/>
    </xf>
    <xf numFmtId="0" fontId="5" fillId="12" borderId="7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14"/>
  <sheetViews>
    <sheetView showGridLines="0" tabSelected="1" zoomScale="85" zoomScaleNormal="85" workbookViewId="0">
      <selection activeCell="G14" sqref="G14:I14"/>
    </sheetView>
  </sheetViews>
  <sheetFormatPr defaultColWidth="3.25" defaultRowHeight="22.5" outlineLevelCol="1" x14ac:dyDescent="0.4"/>
  <cols>
    <col min="1" max="1" width="3.25" style="20"/>
    <col min="2" max="44" width="3" style="20" customWidth="1"/>
    <col min="45" max="46" width="3.75" style="20" customWidth="1"/>
    <col min="47" max="55" width="2.625" style="20" customWidth="1"/>
    <col min="56" max="56" width="3" style="2" customWidth="1"/>
    <col min="57" max="57" width="3" style="10" hidden="1" customWidth="1" outlineLevel="1"/>
    <col min="58" max="58" width="4.25" style="2" hidden="1" customWidth="1" outlineLevel="1"/>
    <col min="59" max="59" width="28.25" style="22" hidden="1" customWidth="1" outlineLevel="1"/>
    <col min="60" max="60" width="17.5" style="22" hidden="1" customWidth="1" outlineLevel="1"/>
    <col min="61" max="66" width="20.75" style="22" hidden="1" customWidth="1" outlineLevel="1"/>
    <col min="67" max="68" width="27.5" style="22" hidden="1" customWidth="1" outlineLevel="1"/>
    <col min="69" max="69" width="26.875" style="22" hidden="1" customWidth="1" outlineLevel="1"/>
    <col min="70" max="70" width="14.75" style="22" hidden="1" customWidth="1" outlineLevel="1"/>
    <col min="71" max="71" width="21.75" style="22" hidden="1" customWidth="1" outlineLevel="1"/>
    <col min="72" max="77" width="17.5" style="22" hidden="1" customWidth="1" outlineLevel="1"/>
    <col min="78" max="78" width="2.75" style="22" hidden="1" customWidth="1" outlineLevel="1"/>
    <col min="79" max="79" width="27.125" style="22" hidden="1" customWidth="1" outlineLevel="1"/>
    <col min="80" max="80" width="7.25" style="30" hidden="1" customWidth="1" outlineLevel="1"/>
    <col min="81" max="81" width="17.5" style="22" hidden="1" customWidth="1" outlineLevel="1"/>
    <col min="82" max="82" width="27.125" style="24" hidden="1" customWidth="1" outlineLevel="1"/>
    <col min="83" max="89" width="21.625" style="20" hidden="1" customWidth="1" outlineLevel="1"/>
    <col min="90" max="90" width="3.25" style="19" hidden="1" customWidth="1" outlineLevel="1"/>
    <col min="91" max="95" width="3.25" style="20" hidden="1" customWidth="1" outlineLevel="1"/>
    <col min="96" max="96" width="5" style="20" hidden="1" customWidth="1" outlineLevel="1"/>
    <col min="97" max="97" width="3.25" style="20" hidden="1" customWidth="1" outlineLevel="1"/>
    <col min="98" max="98" width="5" style="20" hidden="1" customWidth="1" outlineLevel="1"/>
    <col min="99" max="99" width="3.25" style="20" hidden="1" customWidth="1" outlineLevel="1"/>
    <col min="100" max="100" width="8.375" style="20" hidden="1" customWidth="1" outlineLevel="1"/>
    <col min="101" max="103" width="3.25" style="20" hidden="1" customWidth="1" outlineLevel="1"/>
    <col min="104" max="104" width="9.375" style="20" customWidth="1" collapsed="1"/>
    <col min="105" max="16384" width="3.25" style="20"/>
  </cols>
  <sheetData>
    <row r="1" spans="1:104" ht="26.1" customHeight="1" x14ac:dyDescent="0.4">
      <c r="A1" s="270" t="s">
        <v>136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F1" s="10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7"/>
      <c r="CC1" s="16"/>
      <c r="CD1" s="18"/>
      <c r="CE1" s="19"/>
      <c r="CF1" s="19"/>
      <c r="CG1" s="19"/>
      <c r="CH1" s="19"/>
      <c r="CI1" s="19"/>
      <c r="CJ1" s="19"/>
      <c r="CK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</row>
    <row r="2" spans="1:104" ht="26.1" customHeight="1" x14ac:dyDescent="0.4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Z2" s="21"/>
      <c r="CA2" s="21"/>
      <c r="CB2" s="23"/>
      <c r="CC2" s="21"/>
      <c r="CY2" s="19"/>
    </row>
    <row r="3" spans="1:104" ht="26.1" customHeight="1" x14ac:dyDescent="0.4">
      <c r="B3" s="25"/>
      <c r="C3" s="25"/>
      <c r="D3" s="25"/>
      <c r="E3" s="25"/>
      <c r="F3" s="25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6" t="s">
        <v>0</v>
      </c>
      <c r="BT3" s="27"/>
      <c r="BU3" s="27"/>
      <c r="BV3" s="27"/>
      <c r="BW3" s="27"/>
      <c r="BX3" s="27"/>
      <c r="BY3" s="27"/>
      <c r="BZ3" s="21"/>
      <c r="CA3" s="21"/>
      <c r="CB3" s="23"/>
      <c r="CC3" s="21"/>
      <c r="CY3" s="19"/>
    </row>
    <row r="4" spans="1:104" ht="26.1" customHeight="1" x14ac:dyDescent="0.4">
      <c r="A4" s="180" t="s">
        <v>130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71"/>
      <c r="BT4" s="271" t="s">
        <v>1</v>
      </c>
      <c r="BU4" s="271"/>
      <c r="BV4" s="271" t="s">
        <v>2</v>
      </c>
      <c r="BW4" s="271"/>
      <c r="BX4" s="271" t="s">
        <v>3</v>
      </c>
      <c r="BY4" s="271"/>
      <c r="BZ4" s="21"/>
      <c r="CA4" s="21"/>
      <c r="CB4" s="23"/>
      <c r="CC4" s="21"/>
      <c r="CY4" s="19"/>
    </row>
    <row r="5" spans="1:104" ht="26.1" customHeight="1" x14ac:dyDescent="0.4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71"/>
      <c r="BT5" s="28" t="s">
        <v>4</v>
      </c>
      <c r="BU5" s="28" t="s">
        <v>5</v>
      </c>
      <c r="BV5" s="28" t="s">
        <v>4</v>
      </c>
      <c r="BW5" s="28" t="s">
        <v>5</v>
      </c>
      <c r="BX5" s="28" t="s">
        <v>4</v>
      </c>
      <c r="BY5" s="28" t="s">
        <v>5</v>
      </c>
      <c r="BZ5" s="21"/>
      <c r="CA5" s="21"/>
      <c r="CB5" s="23"/>
      <c r="CC5" s="21"/>
      <c r="CY5" s="19"/>
    </row>
    <row r="6" spans="1:104" ht="24.75" customHeight="1" x14ac:dyDescent="0.4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S6" s="28" t="s">
        <v>6</v>
      </c>
      <c r="BT6" s="1">
        <v>7.3999999999999996E-2</v>
      </c>
      <c r="BU6" s="29">
        <v>30000</v>
      </c>
      <c r="BV6" s="1">
        <v>2.9000000000000001E-2</v>
      </c>
      <c r="BW6" s="29">
        <v>11000</v>
      </c>
      <c r="BX6" s="1">
        <v>2.4E-2</v>
      </c>
      <c r="BY6" s="29">
        <v>11000</v>
      </c>
      <c r="CY6" s="19"/>
    </row>
    <row r="7" spans="1:104" ht="24.75" customHeight="1" x14ac:dyDescent="0.4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S7" s="31" t="s">
        <v>7</v>
      </c>
      <c r="BT7" s="32"/>
      <c r="BU7" s="29">
        <v>650000</v>
      </c>
      <c r="BV7" s="32"/>
      <c r="BW7" s="29">
        <v>240000</v>
      </c>
      <c r="BX7" s="32"/>
      <c r="BY7" s="29">
        <v>170000</v>
      </c>
      <c r="CY7" s="19"/>
    </row>
    <row r="8" spans="1:104" ht="24.75" customHeight="1" x14ac:dyDescent="0.4">
      <c r="BS8" s="33"/>
      <c r="BT8" s="31" t="s">
        <v>122</v>
      </c>
      <c r="BU8" s="29">
        <v>20500</v>
      </c>
      <c r="BV8" s="31" t="s">
        <v>122</v>
      </c>
      <c r="BW8" s="29">
        <v>7700</v>
      </c>
      <c r="BX8" s="31" t="s">
        <v>122</v>
      </c>
      <c r="BY8" s="29">
        <v>5900</v>
      </c>
      <c r="CY8" s="19"/>
    </row>
    <row r="9" spans="1:104" ht="24.75" customHeight="1" x14ac:dyDescent="0.4">
      <c r="A9" s="269" t="s">
        <v>137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AF9" s="2"/>
      <c r="AI9" s="2"/>
      <c r="AJ9" s="2"/>
      <c r="BC9" s="2"/>
      <c r="BO9" s="34"/>
      <c r="BS9" s="31"/>
      <c r="BT9" s="35" t="s">
        <v>8</v>
      </c>
      <c r="BU9" s="35" t="s">
        <v>9</v>
      </c>
      <c r="BV9" s="35" t="s">
        <v>10</v>
      </c>
      <c r="BW9" s="33"/>
      <c r="BX9" s="33"/>
      <c r="BY9" s="33"/>
      <c r="CY9" s="19"/>
    </row>
    <row r="10" spans="1:104" ht="51.75" customHeight="1" x14ac:dyDescent="0.4">
      <c r="B10" s="25"/>
      <c r="C10" s="154">
        <f>IF($S$14="","",$L$45+$X$45+$AJ$45)</f>
        <v>0</v>
      </c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CONCATENATE("/",S14,"あたり")</f>
        <v>/12カ月あたり</v>
      </c>
      <c r="N10" s="158"/>
      <c r="O10" s="158"/>
      <c r="P10" s="158"/>
      <c r="Q10" s="158"/>
      <c r="R10" s="158"/>
      <c r="S10" s="2"/>
      <c r="T10" s="2"/>
      <c r="U10" s="154">
        <f>IF($S$14="","",INT($C$49/LEFT($S$14,LEN($S$14)-2)))</f>
        <v>0</v>
      </c>
      <c r="V10" s="155"/>
      <c r="W10" s="155"/>
      <c r="X10" s="155"/>
      <c r="Y10" s="155"/>
      <c r="Z10" s="155"/>
      <c r="AA10" s="155"/>
      <c r="AB10" s="155"/>
      <c r="AC10" s="155"/>
      <c r="AD10" s="156"/>
      <c r="AE10" s="157" t="s">
        <v>115</v>
      </c>
      <c r="AF10" s="158"/>
      <c r="AG10" s="158"/>
      <c r="AH10" s="158"/>
      <c r="AI10" s="158"/>
      <c r="AJ10" s="158"/>
      <c r="AK10" s="2"/>
      <c r="AL10" s="2"/>
      <c r="AM10" s="154">
        <f>IF(CV14=0,U10,C10/CV14)</f>
        <v>0</v>
      </c>
      <c r="AN10" s="155"/>
      <c r="AO10" s="155"/>
      <c r="AP10" s="155"/>
      <c r="AQ10" s="155"/>
      <c r="AR10" s="155"/>
      <c r="AS10" s="155"/>
      <c r="AT10" s="155"/>
      <c r="AU10" s="155"/>
      <c r="AV10" s="156"/>
      <c r="AW10" s="157" t="s">
        <v>116</v>
      </c>
      <c r="AX10" s="158"/>
      <c r="AY10" s="158"/>
      <c r="AZ10" s="158"/>
      <c r="BA10" s="158"/>
      <c r="BB10" s="158"/>
      <c r="BO10" s="36"/>
      <c r="BS10" s="31" t="s">
        <v>11</v>
      </c>
      <c r="BT10" s="29">
        <v>430000</v>
      </c>
      <c r="BU10" s="37">
        <v>295000</v>
      </c>
      <c r="BV10" s="37">
        <v>545000</v>
      </c>
      <c r="BW10" s="33"/>
      <c r="BX10" s="33"/>
      <c r="BY10" s="33"/>
      <c r="CY10" s="19"/>
    </row>
    <row r="11" spans="1:104" ht="26.1" customHeight="1" x14ac:dyDescent="0.4">
      <c r="B11" s="38"/>
      <c r="C11" s="38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AE11" s="2"/>
      <c r="AF11" s="2"/>
      <c r="AI11" s="2"/>
      <c r="AJ11" s="2"/>
      <c r="BR11" s="40"/>
      <c r="CD11" s="41"/>
      <c r="CE11" s="41"/>
      <c r="CY11" s="19"/>
    </row>
    <row r="12" spans="1:104" ht="26.1" customHeight="1" x14ac:dyDescent="0.4">
      <c r="B12" s="42"/>
      <c r="C12" s="42"/>
      <c r="D12" s="42"/>
      <c r="E12" s="42"/>
      <c r="F12" s="42"/>
      <c r="BD12" s="3"/>
      <c r="BO12" s="43"/>
      <c r="BP12" s="34"/>
      <c r="BR12" s="40"/>
      <c r="CA12" s="22" t="s">
        <v>12</v>
      </c>
      <c r="CD12" s="212" t="s">
        <v>13</v>
      </c>
      <c r="CE12" s="212"/>
      <c r="CF12" s="212"/>
      <c r="CG12" s="212"/>
      <c r="CH12" s="212"/>
      <c r="CI12" s="212"/>
      <c r="CJ12" s="212"/>
      <c r="CK12" s="212"/>
      <c r="CY12" s="19"/>
    </row>
    <row r="13" spans="1:104" ht="26.1" customHeight="1" thickBot="1" x14ac:dyDescent="0.45">
      <c r="A13" s="246" t="s">
        <v>135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3"/>
      <c r="BE13" s="44"/>
      <c r="BF13" s="239" t="s">
        <v>14</v>
      </c>
      <c r="BG13" s="247" t="s">
        <v>126</v>
      </c>
      <c r="BH13" s="250" t="s">
        <v>15</v>
      </c>
      <c r="BI13" s="250" t="s">
        <v>16</v>
      </c>
      <c r="BJ13" s="250" t="s">
        <v>17</v>
      </c>
      <c r="BK13" s="247" t="s">
        <v>18</v>
      </c>
      <c r="BL13" s="247" t="s">
        <v>19</v>
      </c>
      <c r="BM13" s="247" t="s">
        <v>20</v>
      </c>
      <c r="BN13" s="247" t="s">
        <v>21</v>
      </c>
      <c r="BO13" s="247" t="s">
        <v>127</v>
      </c>
      <c r="BP13" s="247" t="s">
        <v>128</v>
      </c>
      <c r="BQ13" s="247" t="s">
        <v>22</v>
      </c>
      <c r="BR13" s="247" t="s">
        <v>23</v>
      </c>
      <c r="BS13" s="250" t="s">
        <v>24</v>
      </c>
      <c r="BT13" s="247" t="s">
        <v>25</v>
      </c>
      <c r="BU13" s="247" t="s">
        <v>26</v>
      </c>
      <c r="BV13" s="247" t="s">
        <v>27</v>
      </c>
      <c r="BW13" s="247" t="s">
        <v>28</v>
      </c>
      <c r="BX13" s="247" t="s">
        <v>29</v>
      </c>
      <c r="BY13" s="247" t="s">
        <v>30</v>
      </c>
      <c r="BZ13" s="45"/>
      <c r="CA13" s="46" t="s">
        <v>31</v>
      </c>
      <c r="CB13" s="202" t="s">
        <v>32</v>
      </c>
      <c r="CC13" s="203"/>
      <c r="CD13" s="47" t="s">
        <v>33</v>
      </c>
      <c r="CE13" s="47" t="s">
        <v>34</v>
      </c>
      <c r="CF13" s="47" t="s">
        <v>35</v>
      </c>
      <c r="CG13" s="47" t="s">
        <v>36</v>
      </c>
      <c r="CH13" s="47" t="s">
        <v>37</v>
      </c>
      <c r="CI13" s="47" t="s">
        <v>38</v>
      </c>
      <c r="CJ13" s="47" t="s">
        <v>39</v>
      </c>
      <c r="CK13" s="47" t="s">
        <v>40</v>
      </c>
      <c r="CR13" s="48">
        <v>4</v>
      </c>
      <c r="CS13" s="20" t="s">
        <v>113</v>
      </c>
      <c r="CT13" s="20">
        <v>12</v>
      </c>
      <c r="CV13" s="20">
        <f>VLOOKUP(G14,CR:CT,3,0)</f>
        <v>12</v>
      </c>
      <c r="CY13" s="19"/>
      <c r="CZ13" s="146" t="str">
        <f>IF(G21="0歳～6歳",BU17/2,BU17)</f>
        <v/>
      </c>
    </row>
    <row r="14" spans="1:104" ht="26.1" customHeight="1" thickBot="1" x14ac:dyDescent="0.45">
      <c r="C14" s="182" t="str">
        <f>IF(G14&lt;4,"令和8年","令和7年")</f>
        <v>令和7年</v>
      </c>
      <c r="D14" s="183"/>
      <c r="E14" s="183"/>
      <c r="F14" s="183"/>
      <c r="G14" s="184">
        <v>4</v>
      </c>
      <c r="H14" s="185"/>
      <c r="I14" s="186"/>
      <c r="J14" s="20" t="s">
        <v>102</v>
      </c>
      <c r="M14" s="49"/>
      <c r="N14" s="2"/>
      <c r="O14" s="2" t="s">
        <v>103</v>
      </c>
      <c r="S14" s="187" t="str">
        <f>VLOOKUP(G14,CR13:CS24,2,0)</f>
        <v>12カ月</v>
      </c>
      <c r="T14" s="187"/>
      <c r="U14" s="187"/>
      <c r="V14" s="187"/>
      <c r="AD14" s="2"/>
      <c r="BD14" s="3"/>
      <c r="BE14" s="44"/>
      <c r="BF14" s="239"/>
      <c r="BG14" s="248"/>
      <c r="BH14" s="248"/>
      <c r="BI14" s="248"/>
      <c r="BJ14" s="248"/>
      <c r="BK14" s="272"/>
      <c r="BL14" s="272"/>
      <c r="BM14" s="272"/>
      <c r="BN14" s="272"/>
      <c r="BO14" s="248"/>
      <c r="BP14" s="248"/>
      <c r="BQ14" s="272"/>
      <c r="BR14" s="248"/>
      <c r="BS14" s="248"/>
      <c r="BT14" s="248"/>
      <c r="BU14" s="248"/>
      <c r="BV14" s="248"/>
      <c r="BW14" s="248"/>
      <c r="BX14" s="248"/>
      <c r="BY14" s="248"/>
      <c r="BZ14" s="50"/>
      <c r="CA14" s="51">
        <v>0</v>
      </c>
      <c r="CB14" s="52"/>
      <c r="CC14" s="53">
        <v>0</v>
      </c>
      <c r="CD14" s="54">
        <f t="shared" ref="CD14:CK14" si="0">$CC14</f>
        <v>0</v>
      </c>
      <c r="CE14" s="55">
        <f t="shared" si="0"/>
        <v>0</v>
      </c>
      <c r="CF14" s="55">
        <f t="shared" si="0"/>
        <v>0</v>
      </c>
      <c r="CG14" s="55">
        <f t="shared" si="0"/>
        <v>0</v>
      </c>
      <c r="CH14" s="55">
        <f t="shared" si="0"/>
        <v>0</v>
      </c>
      <c r="CI14" s="55">
        <f t="shared" si="0"/>
        <v>0</v>
      </c>
      <c r="CJ14" s="55">
        <f t="shared" si="0"/>
        <v>0</v>
      </c>
      <c r="CK14" s="55">
        <f t="shared" si="0"/>
        <v>0</v>
      </c>
      <c r="CR14" s="48">
        <v>5</v>
      </c>
      <c r="CS14" s="20" t="s">
        <v>114</v>
      </c>
      <c r="CT14" s="20">
        <v>11</v>
      </c>
      <c r="CV14" s="20">
        <f>IF(AND(G14&gt;3,G14&lt;7),9,CV13-1)</f>
        <v>9</v>
      </c>
      <c r="CY14" s="19"/>
    </row>
    <row r="15" spans="1:104" ht="26.1" customHeight="1" x14ac:dyDescent="0.4">
      <c r="K15" s="13"/>
      <c r="L15" s="13"/>
      <c r="M15" s="13"/>
      <c r="N15" s="13"/>
      <c r="O15" s="13"/>
      <c r="BD15" s="3"/>
      <c r="BE15" s="44"/>
      <c r="BF15" s="239"/>
      <c r="BG15" s="248"/>
      <c r="BH15" s="248"/>
      <c r="BI15" s="248"/>
      <c r="BJ15" s="248"/>
      <c r="BK15" s="272"/>
      <c r="BL15" s="272"/>
      <c r="BM15" s="272"/>
      <c r="BN15" s="272"/>
      <c r="BO15" s="248"/>
      <c r="BP15" s="248"/>
      <c r="BQ15" s="272"/>
      <c r="BR15" s="248"/>
      <c r="BS15" s="248"/>
      <c r="BT15" s="248"/>
      <c r="BU15" s="248"/>
      <c r="BV15" s="248"/>
      <c r="BW15" s="248"/>
      <c r="BX15" s="248"/>
      <c r="BY15" s="248"/>
      <c r="BZ15" s="50"/>
      <c r="CA15" s="56">
        <v>551000</v>
      </c>
      <c r="CB15" s="57"/>
      <c r="CC15" s="58">
        <v>550000</v>
      </c>
      <c r="CD15" s="59">
        <f>$N21-$CC15</f>
        <v>-550000</v>
      </c>
      <c r="CE15" s="59">
        <f>$N22-$CC15</f>
        <v>-550000</v>
      </c>
      <c r="CF15" s="59">
        <f>$N23-$CC15</f>
        <v>-550000</v>
      </c>
      <c r="CG15" s="59">
        <f>$N24-$CC15</f>
        <v>-550000</v>
      </c>
      <c r="CH15" s="59">
        <f>$N25-$CC15</f>
        <v>-550000</v>
      </c>
      <c r="CI15" s="59">
        <f>$N26-$CC15</f>
        <v>-550000</v>
      </c>
      <c r="CJ15" s="59">
        <f>$N27-$CC15</f>
        <v>-550000</v>
      </c>
      <c r="CK15" s="59">
        <f>$N28-$CC15</f>
        <v>-550000</v>
      </c>
      <c r="CR15" s="48">
        <v>6</v>
      </c>
      <c r="CS15" s="20" t="s">
        <v>112</v>
      </c>
      <c r="CT15" s="20">
        <v>10</v>
      </c>
      <c r="CY15" s="19"/>
    </row>
    <row r="16" spans="1:104" ht="26.1" customHeight="1" x14ac:dyDescent="0.4">
      <c r="A16" s="246" t="s">
        <v>41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3"/>
      <c r="BE16" s="44"/>
      <c r="BF16" s="239"/>
      <c r="BG16" s="249"/>
      <c r="BH16" s="249"/>
      <c r="BI16" s="249"/>
      <c r="BJ16" s="249"/>
      <c r="BK16" s="273"/>
      <c r="BL16" s="273"/>
      <c r="BM16" s="273"/>
      <c r="BN16" s="273"/>
      <c r="BO16" s="249"/>
      <c r="BP16" s="249"/>
      <c r="BQ16" s="273"/>
      <c r="BR16" s="249"/>
      <c r="BS16" s="249"/>
      <c r="BT16" s="249"/>
      <c r="BU16" s="249"/>
      <c r="BV16" s="249"/>
      <c r="BW16" s="249"/>
      <c r="BX16" s="249"/>
      <c r="BY16" s="249"/>
      <c r="BZ16" s="50"/>
      <c r="CA16" s="56">
        <v>1619000</v>
      </c>
      <c r="CB16" s="57"/>
      <c r="CC16" s="58">
        <v>1069000</v>
      </c>
      <c r="CD16" s="59">
        <f>$CC16</f>
        <v>1069000</v>
      </c>
      <c r="CE16" s="59">
        <f t="shared" ref="CD16:CK19" si="1">$CC16</f>
        <v>1069000</v>
      </c>
      <c r="CF16" s="59">
        <f t="shared" si="1"/>
        <v>1069000</v>
      </c>
      <c r="CG16" s="59">
        <f t="shared" si="1"/>
        <v>1069000</v>
      </c>
      <c r="CH16" s="59">
        <f t="shared" si="1"/>
        <v>1069000</v>
      </c>
      <c r="CI16" s="59">
        <f t="shared" si="1"/>
        <v>1069000</v>
      </c>
      <c r="CJ16" s="59">
        <f t="shared" si="1"/>
        <v>1069000</v>
      </c>
      <c r="CK16" s="59">
        <f t="shared" si="1"/>
        <v>1069000</v>
      </c>
      <c r="CR16" s="48">
        <v>7</v>
      </c>
      <c r="CS16" s="20" t="s">
        <v>111</v>
      </c>
      <c r="CT16" s="20">
        <v>9</v>
      </c>
      <c r="CY16" s="19"/>
    </row>
    <row r="17" spans="1:103" ht="26.1" customHeight="1" x14ac:dyDescent="0.4">
      <c r="B17" s="266" t="s">
        <v>42</v>
      </c>
      <c r="C17" s="266"/>
      <c r="D17" s="266"/>
      <c r="E17" s="266"/>
      <c r="F17" s="266"/>
      <c r="G17" s="266" t="s">
        <v>43</v>
      </c>
      <c r="H17" s="266"/>
      <c r="I17" s="266"/>
      <c r="J17" s="266"/>
      <c r="K17" s="266"/>
      <c r="L17" s="266"/>
      <c r="M17" s="266"/>
      <c r="N17" s="251" t="s">
        <v>44</v>
      </c>
      <c r="O17" s="251"/>
      <c r="P17" s="251"/>
      <c r="Q17" s="251"/>
      <c r="R17" s="251"/>
      <c r="S17" s="251"/>
      <c r="T17" s="251"/>
      <c r="U17" s="251"/>
      <c r="V17" s="251" t="s">
        <v>45</v>
      </c>
      <c r="W17" s="251"/>
      <c r="X17" s="251"/>
      <c r="Y17" s="251"/>
      <c r="Z17" s="251"/>
      <c r="AA17" s="251"/>
      <c r="AB17" s="251"/>
      <c r="AC17" s="251" t="s">
        <v>46</v>
      </c>
      <c r="AD17" s="251"/>
      <c r="AE17" s="251"/>
      <c r="AF17" s="251"/>
      <c r="AG17" s="251"/>
      <c r="AH17" s="251"/>
      <c r="AI17" s="251"/>
      <c r="AJ17" s="251" t="s">
        <v>47</v>
      </c>
      <c r="AK17" s="251"/>
      <c r="AL17" s="251"/>
      <c r="AM17" s="251"/>
      <c r="AN17" s="251"/>
      <c r="AO17" s="251"/>
      <c r="AP17" s="251" t="s">
        <v>124</v>
      </c>
      <c r="AQ17" s="251"/>
      <c r="AR17" s="251"/>
      <c r="AS17" s="251"/>
      <c r="AT17" s="251"/>
      <c r="AU17" s="251" t="s">
        <v>131</v>
      </c>
      <c r="AV17" s="251"/>
      <c r="AW17" s="251"/>
      <c r="AX17" s="251"/>
      <c r="AY17" s="251"/>
      <c r="AZ17" s="251"/>
      <c r="BA17" s="251"/>
      <c r="BB17" s="251"/>
      <c r="BC17" s="251"/>
      <c r="BD17" s="4"/>
      <c r="BE17" s="60"/>
      <c r="BF17" s="61">
        <v>1</v>
      </c>
      <c r="BG17" s="5">
        <f>IF(BP17-BQ17-BR17&gt;0,BP17-BQ17-BR17,0)</f>
        <v>0</v>
      </c>
      <c r="BH17" s="5">
        <f t="shared" ref="BH17:BH24" si="2">IF(G21="65歳～74歳",VLOOKUP(V21,$CA$36:$CK$41,BF17+3),VLOOKUP(V21,$CA$29:$CK$34,BF17+3))</f>
        <v>0</v>
      </c>
      <c r="BI17" s="5">
        <f t="shared" ref="BI17:BI24" si="3">IF(AC21+BG17+BH17&lt;0,0,AC21+BG17+BH17)</f>
        <v>0</v>
      </c>
      <c r="BJ17" s="5">
        <f t="shared" ref="BJ17:BJ24" si="4">IF(BI17&gt;=$CA$48,BI17,IF(BI17&gt;=$CA$47,BI17-$CC$47,IF(BI17&gt;=$CA$46,BI17-$CC$46,IF(BI17&gt;$CA$45,IF(BI17-$CC$45&lt;0,0,BI17-$CC$45),0))))</f>
        <v>0</v>
      </c>
      <c r="BK17" s="62">
        <f>IF(N21&gt;$CC$15,1,0)</f>
        <v>0</v>
      </c>
      <c r="BL17" s="62">
        <f t="shared" ref="BL17:BL24" si="5">IF(G21="65歳～74歳",IF(V21&gt;1250000,1,0),IF(V21&gt;600000,1,0))</f>
        <v>0</v>
      </c>
      <c r="BM17" s="62">
        <f>IF(SUM(BK17:BL17)&gt;0,1,0)</f>
        <v>0</v>
      </c>
      <c r="BN17" s="62">
        <f t="shared" ref="BN17:BN24" si="6">IF(AP21&lt;&gt;"擬制世帯主",IF(G21&lt;&gt;"",1,0),0)</f>
        <v>0</v>
      </c>
      <c r="BO17" s="63">
        <f>VLOOKUP(N21,$CA$13:$CK$24,BF17+3)</f>
        <v>0</v>
      </c>
      <c r="BP17" s="63">
        <f t="shared" ref="BP17:BP24" si="7">IF(AJ21="非自発的失業",INT(BO17*30%),BO17)</f>
        <v>0</v>
      </c>
      <c r="BQ17" s="63">
        <f>ROUNDUP(IF(AND(N21&gt;8500000,AU21="所得金額調整控除該当"),IF(N21&gt;10000000,(10000000-8500000)*10%,(N21-8500000)*10%),0),0)</f>
        <v>0</v>
      </c>
      <c r="BR17" s="63">
        <f>IF(AND(BP17-BQ17&gt;0,BH17&gt;0),(IF((BP17-BQ17)&gt;100000,100000,(BP17-BQ17))+IF(BH17&gt;100000,100000,BH17))-100000,0)</f>
        <v>0</v>
      </c>
      <c r="BS17" s="63">
        <f t="shared" ref="BS17:BS24" si="8">IF(G21="65歳～74歳",IF(BH17&gt;=150000,BI17-150000,BI17-BH17),BI17)</f>
        <v>0</v>
      </c>
      <c r="BT17" s="63" t="str">
        <f t="shared" ref="BT17:BT24" si="9">IF(G21="","",IF(AP21="",INT(BJ17*$BT$6),0))</f>
        <v/>
      </c>
      <c r="BU17" s="63" t="str">
        <f>IF(G21="","",IF(AP21="",$BU$6,0))</f>
        <v/>
      </c>
      <c r="BV17" s="63" t="str">
        <f>IF(G21="","",IF(AP21="",INT(BJ17*$BV$6),0))</f>
        <v/>
      </c>
      <c r="BW17" s="63" t="str">
        <f>IF(G21="","",IF(AP21="",$BW$6,0))</f>
        <v/>
      </c>
      <c r="BX17" s="63" t="str">
        <f>IF(G21="40歳～64歳",IF(AP21="",INT(BJ17*$BX$6),0),"")</f>
        <v/>
      </c>
      <c r="BY17" s="63" t="str">
        <f>IF(G21="40歳～64歳",IF(AP21="",$BY$6,0),"")</f>
        <v/>
      </c>
      <c r="BZ17" s="64"/>
      <c r="CA17" s="56">
        <v>1620000</v>
      </c>
      <c r="CB17" s="57"/>
      <c r="CC17" s="58">
        <v>1070000</v>
      </c>
      <c r="CD17" s="59">
        <f t="shared" si="1"/>
        <v>1070000</v>
      </c>
      <c r="CE17" s="59">
        <f t="shared" si="1"/>
        <v>1070000</v>
      </c>
      <c r="CF17" s="59">
        <f t="shared" si="1"/>
        <v>1070000</v>
      </c>
      <c r="CG17" s="59">
        <f t="shared" si="1"/>
        <v>1070000</v>
      </c>
      <c r="CH17" s="59">
        <f t="shared" si="1"/>
        <v>1070000</v>
      </c>
      <c r="CI17" s="59">
        <f t="shared" si="1"/>
        <v>1070000</v>
      </c>
      <c r="CJ17" s="59">
        <f t="shared" si="1"/>
        <v>1070000</v>
      </c>
      <c r="CK17" s="59">
        <f t="shared" si="1"/>
        <v>1070000</v>
      </c>
      <c r="CR17" s="48">
        <v>8</v>
      </c>
      <c r="CS17" s="20" t="s">
        <v>110</v>
      </c>
      <c r="CT17" s="20">
        <v>8</v>
      </c>
      <c r="CY17" s="19"/>
    </row>
    <row r="18" spans="1:103" ht="26.1" customHeight="1" x14ac:dyDescent="0.4"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4"/>
      <c r="BE18" s="60"/>
      <c r="BF18" s="61">
        <v>2</v>
      </c>
      <c r="BG18" s="5">
        <f>IF(BP18-BQ18-BR18&gt;0,BP18-BQ18-BR18,0)</f>
        <v>0</v>
      </c>
      <c r="BH18" s="5">
        <f t="shared" si="2"/>
        <v>0</v>
      </c>
      <c r="BI18" s="5">
        <f t="shared" si="3"/>
        <v>0</v>
      </c>
      <c r="BJ18" s="5">
        <f t="shared" si="4"/>
        <v>0</v>
      </c>
      <c r="BK18" s="62">
        <f>IF(N22&gt;$CC$15,1,0)</f>
        <v>0</v>
      </c>
      <c r="BL18" s="62">
        <f t="shared" si="5"/>
        <v>0</v>
      </c>
      <c r="BM18" s="62">
        <f t="shared" ref="BM18:BM24" si="10">IF(SUM(BK18:BL18)&gt;0,1,0)</f>
        <v>0</v>
      </c>
      <c r="BN18" s="62">
        <f t="shared" si="6"/>
        <v>0</v>
      </c>
      <c r="BO18" s="63">
        <f>VLOOKUP(N22,$CA$13:$CK$24,BF18+3)</f>
        <v>0</v>
      </c>
      <c r="BP18" s="63">
        <f t="shared" si="7"/>
        <v>0</v>
      </c>
      <c r="BQ18" s="63">
        <f>ROUNDUP(IF(AND(N22&gt;8500000,AU22="所得金額調整控除該当"),IF(N22&gt;10000000,(10000000-8500000)*10%,(N22-8500000)*10%),0),0)</f>
        <v>0</v>
      </c>
      <c r="BR18" s="63">
        <f t="shared" ref="BR18:BR24" si="11">IF(AND(BP18-BQ18&gt;0,BH18&gt;0),(IF((BP18-BQ18)&gt;100000,100000,(BP18-BQ18))+IF(BH18&gt;100000,100000,BH18))-100000,0)</f>
        <v>0</v>
      </c>
      <c r="BS18" s="63">
        <f t="shared" si="8"/>
        <v>0</v>
      </c>
      <c r="BT18" s="63" t="str">
        <f t="shared" si="9"/>
        <v/>
      </c>
      <c r="BU18" s="63" t="str">
        <f>IF(G22="","",IF(G22="0歳～6歳",$BU$6/2,$BU$6))</f>
        <v/>
      </c>
      <c r="BV18" s="63" t="str">
        <f t="shared" ref="BV18:BV24" si="12">IF(G22="","",IF(AP22="",INT(BJ18*$BV$6),0))</f>
        <v/>
      </c>
      <c r="BW18" s="63" t="str">
        <f>IF(G22="","",IF(G22="0歳～6歳",$BW$6/2,$BW$6))</f>
        <v/>
      </c>
      <c r="BX18" s="63" t="str">
        <f t="shared" ref="BX18:BX24" si="13">IF(G22="40歳～64歳",IF(AP22="",INT(BJ18*$BX$6),0),"")</f>
        <v/>
      </c>
      <c r="BY18" s="63" t="str">
        <f t="shared" ref="BY18:BY24" si="14">IF(G22="40歳～64歳",IF(AP22="",$BY$6,0),"")</f>
        <v/>
      </c>
      <c r="BZ18" s="64"/>
      <c r="CA18" s="56">
        <v>1622000</v>
      </c>
      <c r="CB18" s="57"/>
      <c r="CC18" s="58">
        <v>1072000</v>
      </c>
      <c r="CD18" s="59">
        <f t="shared" si="1"/>
        <v>1072000</v>
      </c>
      <c r="CE18" s="59">
        <f t="shared" si="1"/>
        <v>1072000</v>
      </c>
      <c r="CF18" s="59">
        <f t="shared" si="1"/>
        <v>1072000</v>
      </c>
      <c r="CG18" s="59">
        <f t="shared" si="1"/>
        <v>1072000</v>
      </c>
      <c r="CH18" s="59">
        <f t="shared" si="1"/>
        <v>1072000</v>
      </c>
      <c r="CI18" s="59">
        <f t="shared" si="1"/>
        <v>1072000</v>
      </c>
      <c r="CJ18" s="59">
        <f t="shared" si="1"/>
        <v>1072000</v>
      </c>
      <c r="CK18" s="59">
        <f t="shared" si="1"/>
        <v>1072000</v>
      </c>
      <c r="CR18" s="48">
        <v>9</v>
      </c>
      <c r="CS18" s="20" t="s">
        <v>109</v>
      </c>
      <c r="CT18" s="20">
        <v>7</v>
      </c>
      <c r="CY18" s="19"/>
    </row>
    <row r="19" spans="1:103" ht="26.1" customHeight="1" x14ac:dyDescent="0.4"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4"/>
      <c r="BE19" s="60"/>
      <c r="BF19" s="61">
        <v>3</v>
      </c>
      <c r="BG19" s="5">
        <f t="shared" ref="BG19:BG24" si="15">IF(BP19-BQ19-BR19&gt;0,BP19-BQ19-BR19,0)</f>
        <v>0</v>
      </c>
      <c r="BH19" s="5">
        <f t="shared" si="2"/>
        <v>0</v>
      </c>
      <c r="BI19" s="5">
        <f t="shared" si="3"/>
        <v>0</v>
      </c>
      <c r="BJ19" s="5">
        <f t="shared" si="4"/>
        <v>0</v>
      </c>
      <c r="BK19" s="62">
        <f t="shared" ref="BK19:BK24" si="16">IF(N23&gt;$CC$15,1,0)</f>
        <v>0</v>
      </c>
      <c r="BL19" s="62">
        <f t="shared" si="5"/>
        <v>0</v>
      </c>
      <c r="BM19" s="62">
        <f t="shared" si="10"/>
        <v>0</v>
      </c>
      <c r="BN19" s="62">
        <f t="shared" si="6"/>
        <v>0</v>
      </c>
      <c r="BO19" s="63">
        <f t="shared" ref="BO19:BO24" si="17">VLOOKUP(N23,$CA$13:$CK$24,BF19+3)</f>
        <v>0</v>
      </c>
      <c r="BP19" s="63">
        <f t="shared" si="7"/>
        <v>0</v>
      </c>
      <c r="BQ19" s="63">
        <f t="shared" ref="BQ19:BQ24" si="18">ROUNDUP(IF(AND(N23&gt;8500000,AU23="所得金額調整控除該当"),IF(N23&gt;10000000,(10000000-8500000)*10%,(N23-8500000)*10%),0),0)</f>
        <v>0</v>
      </c>
      <c r="BR19" s="63">
        <f t="shared" si="11"/>
        <v>0</v>
      </c>
      <c r="BS19" s="63">
        <f t="shared" si="8"/>
        <v>0</v>
      </c>
      <c r="BT19" s="63" t="str">
        <f t="shared" si="9"/>
        <v/>
      </c>
      <c r="BU19" s="63" t="str">
        <f t="shared" ref="BU19:BU24" si="19">IF(G23="","",IF(G23="0歳～6歳",$BU$6/2,$BU$6))</f>
        <v/>
      </c>
      <c r="BV19" s="63" t="str">
        <f t="shared" si="12"/>
        <v/>
      </c>
      <c r="BW19" s="63" t="str">
        <f t="shared" ref="BW19:BW24" si="20">IF(G23="","",IF(G23="0歳～6歳",$BW$6/2,$BW$6))</f>
        <v/>
      </c>
      <c r="BX19" s="63" t="str">
        <f t="shared" si="13"/>
        <v/>
      </c>
      <c r="BY19" s="63" t="str">
        <f t="shared" si="14"/>
        <v/>
      </c>
      <c r="BZ19" s="64"/>
      <c r="CA19" s="56">
        <v>1624000</v>
      </c>
      <c r="CB19" s="57"/>
      <c r="CC19" s="58">
        <v>1074000</v>
      </c>
      <c r="CD19" s="59">
        <f t="shared" si="1"/>
        <v>1074000</v>
      </c>
      <c r="CE19" s="59">
        <f t="shared" si="1"/>
        <v>1074000</v>
      </c>
      <c r="CF19" s="59">
        <f t="shared" si="1"/>
        <v>1074000</v>
      </c>
      <c r="CG19" s="65">
        <f t="shared" si="1"/>
        <v>1074000</v>
      </c>
      <c r="CH19" s="59">
        <f t="shared" si="1"/>
        <v>1074000</v>
      </c>
      <c r="CI19" s="59">
        <f t="shared" si="1"/>
        <v>1074000</v>
      </c>
      <c r="CJ19" s="59">
        <f t="shared" si="1"/>
        <v>1074000</v>
      </c>
      <c r="CK19" s="59">
        <f t="shared" si="1"/>
        <v>1074000</v>
      </c>
      <c r="CR19" s="48">
        <v>10</v>
      </c>
      <c r="CS19" s="20" t="s">
        <v>108</v>
      </c>
      <c r="CT19" s="20">
        <v>6</v>
      </c>
      <c r="CY19" s="19"/>
    </row>
    <row r="20" spans="1:103" ht="26.1" customHeight="1" thickBot="1" x14ac:dyDescent="0.45">
      <c r="B20" s="268"/>
      <c r="C20" s="268"/>
      <c r="D20" s="268"/>
      <c r="E20" s="268"/>
      <c r="F20" s="268"/>
      <c r="G20" s="267"/>
      <c r="H20" s="267"/>
      <c r="I20" s="267"/>
      <c r="J20" s="267"/>
      <c r="K20" s="267"/>
      <c r="L20" s="267"/>
      <c r="M20" s="267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4"/>
      <c r="BE20" s="60"/>
      <c r="BF20" s="61">
        <v>4</v>
      </c>
      <c r="BG20" s="5">
        <f t="shared" si="15"/>
        <v>0</v>
      </c>
      <c r="BH20" s="5">
        <f t="shared" si="2"/>
        <v>0</v>
      </c>
      <c r="BI20" s="5">
        <f t="shared" si="3"/>
        <v>0</v>
      </c>
      <c r="BJ20" s="5">
        <f t="shared" si="4"/>
        <v>0</v>
      </c>
      <c r="BK20" s="62">
        <f t="shared" si="16"/>
        <v>0</v>
      </c>
      <c r="BL20" s="62">
        <f t="shared" si="5"/>
        <v>0</v>
      </c>
      <c r="BM20" s="62">
        <f t="shared" si="10"/>
        <v>0</v>
      </c>
      <c r="BN20" s="62">
        <f t="shared" si="6"/>
        <v>0</v>
      </c>
      <c r="BO20" s="63">
        <f t="shared" si="17"/>
        <v>0</v>
      </c>
      <c r="BP20" s="63">
        <f t="shared" si="7"/>
        <v>0</v>
      </c>
      <c r="BQ20" s="63">
        <f t="shared" si="18"/>
        <v>0</v>
      </c>
      <c r="BR20" s="63">
        <f t="shared" si="11"/>
        <v>0</v>
      </c>
      <c r="BS20" s="63">
        <f t="shared" si="8"/>
        <v>0</v>
      </c>
      <c r="BT20" s="63" t="str">
        <f t="shared" si="9"/>
        <v/>
      </c>
      <c r="BU20" s="63" t="str">
        <f t="shared" si="19"/>
        <v/>
      </c>
      <c r="BV20" s="63" t="str">
        <f t="shared" si="12"/>
        <v/>
      </c>
      <c r="BW20" s="63" t="str">
        <f t="shared" si="20"/>
        <v/>
      </c>
      <c r="BX20" s="63" t="str">
        <f t="shared" si="13"/>
        <v/>
      </c>
      <c r="BY20" s="63" t="str">
        <f t="shared" si="14"/>
        <v/>
      </c>
      <c r="BZ20" s="64"/>
      <c r="CA20" s="56">
        <v>1628000</v>
      </c>
      <c r="CB20" s="57">
        <v>0.6</v>
      </c>
      <c r="CC20" s="58">
        <v>100000</v>
      </c>
      <c r="CD20" s="59">
        <f>INT(TRUNC(($N21/4),-3)*4*$CB20+$CC20)</f>
        <v>100000</v>
      </c>
      <c r="CE20" s="59">
        <f>INT(TRUNC(($N22/4),-3)*4*$CB20+$CC20)</f>
        <v>100000</v>
      </c>
      <c r="CF20" s="59">
        <f>INT(TRUNC(($N23/4),-3)*4*$CB20+$CC20)</f>
        <v>100000</v>
      </c>
      <c r="CG20" s="65">
        <f>INT(TRUNC(($N24/4),-3)*4*$CB20+$CC20)</f>
        <v>100000</v>
      </c>
      <c r="CH20" s="65">
        <f>INT(TRUNC(($N25/4),-3)*4*$CB20+$CC20)</f>
        <v>100000</v>
      </c>
      <c r="CI20" s="65">
        <f>INT(TRUNC(($N26/4),-3)*4*$CB20+$CC20)</f>
        <v>100000</v>
      </c>
      <c r="CJ20" s="65">
        <f>INT(TRUNC(($N27/4),-3)*4*$CB20+$CC20)</f>
        <v>100000</v>
      </c>
      <c r="CK20" s="65">
        <f>INT(TRUNC(($N28/4),-3)*4*$CB20+$CC20)</f>
        <v>100000</v>
      </c>
      <c r="CR20" s="48">
        <v>11</v>
      </c>
      <c r="CS20" s="20" t="s">
        <v>107</v>
      </c>
      <c r="CT20" s="20">
        <v>5</v>
      </c>
      <c r="CY20" s="19"/>
    </row>
    <row r="21" spans="1:103" ht="26.1" customHeight="1" thickBot="1" x14ac:dyDescent="0.45">
      <c r="B21" s="253" t="s">
        <v>48</v>
      </c>
      <c r="C21" s="254"/>
      <c r="D21" s="254"/>
      <c r="E21" s="254"/>
      <c r="F21" s="254"/>
      <c r="G21" s="255"/>
      <c r="H21" s="256"/>
      <c r="I21" s="256"/>
      <c r="J21" s="256"/>
      <c r="K21" s="256"/>
      <c r="L21" s="256"/>
      <c r="M21" s="256"/>
      <c r="N21" s="257"/>
      <c r="O21" s="258"/>
      <c r="P21" s="258"/>
      <c r="Q21" s="258"/>
      <c r="R21" s="258"/>
      <c r="S21" s="258"/>
      <c r="T21" s="258"/>
      <c r="U21" s="259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1"/>
      <c r="AK21" s="262"/>
      <c r="AL21" s="262"/>
      <c r="AM21" s="262"/>
      <c r="AN21" s="262"/>
      <c r="AO21" s="262"/>
      <c r="AP21" s="263"/>
      <c r="AQ21" s="263"/>
      <c r="AR21" s="263"/>
      <c r="AS21" s="263"/>
      <c r="AT21" s="263"/>
      <c r="AU21" s="264"/>
      <c r="AV21" s="264"/>
      <c r="AW21" s="264"/>
      <c r="AX21" s="264"/>
      <c r="AY21" s="264"/>
      <c r="AZ21" s="264"/>
      <c r="BA21" s="264"/>
      <c r="BB21" s="264"/>
      <c r="BC21" s="265"/>
      <c r="BD21" s="4"/>
      <c r="BE21" s="60"/>
      <c r="BF21" s="61">
        <v>5</v>
      </c>
      <c r="BG21" s="5">
        <f t="shared" si="15"/>
        <v>0</v>
      </c>
      <c r="BH21" s="5">
        <f t="shared" si="2"/>
        <v>0</v>
      </c>
      <c r="BI21" s="5">
        <f t="shared" si="3"/>
        <v>0</v>
      </c>
      <c r="BJ21" s="5">
        <f t="shared" si="4"/>
        <v>0</v>
      </c>
      <c r="BK21" s="62">
        <f t="shared" si="16"/>
        <v>0</v>
      </c>
      <c r="BL21" s="62">
        <f t="shared" si="5"/>
        <v>0</v>
      </c>
      <c r="BM21" s="62">
        <f t="shared" si="10"/>
        <v>0</v>
      </c>
      <c r="BN21" s="62">
        <f t="shared" si="6"/>
        <v>0</v>
      </c>
      <c r="BO21" s="63">
        <f t="shared" si="17"/>
        <v>0</v>
      </c>
      <c r="BP21" s="63">
        <f t="shared" si="7"/>
        <v>0</v>
      </c>
      <c r="BQ21" s="63">
        <f t="shared" si="18"/>
        <v>0</v>
      </c>
      <c r="BR21" s="63">
        <f t="shared" si="11"/>
        <v>0</v>
      </c>
      <c r="BS21" s="63">
        <f t="shared" si="8"/>
        <v>0</v>
      </c>
      <c r="BT21" s="63" t="str">
        <f t="shared" si="9"/>
        <v/>
      </c>
      <c r="BU21" s="63" t="str">
        <f t="shared" si="19"/>
        <v/>
      </c>
      <c r="BV21" s="63" t="str">
        <f t="shared" si="12"/>
        <v/>
      </c>
      <c r="BW21" s="63" t="str">
        <f t="shared" si="20"/>
        <v/>
      </c>
      <c r="BX21" s="63" t="str">
        <f t="shared" si="13"/>
        <v/>
      </c>
      <c r="BY21" s="63" t="str">
        <f t="shared" si="14"/>
        <v/>
      </c>
      <c r="BZ21" s="64"/>
      <c r="CA21" s="56">
        <v>1800000</v>
      </c>
      <c r="CB21" s="57">
        <v>0.7</v>
      </c>
      <c r="CC21" s="58">
        <v>80000</v>
      </c>
      <c r="CD21" s="59">
        <f>INT(TRUNC(($N21/4),-3)*4*$CB21-$CC21)</f>
        <v>-80000</v>
      </c>
      <c r="CE21" s="59">
        <f>INT(TRUNC(($N22/4),-3)*4*$CB21-$CC21)</f>
        <v>-80000</v>
      </c>
      <c r="CF21" s="59">
        <f>INT(TRUNC(($N23/4),-3)*4*$CB21-$CC21)</f>
        <v>-80000</v>
      </c>
      <c r="CG21" s="65">
        <f>INT(TRUNC(($N24/4),-3)*4*$CB21-$CC21)</f>
        <v>-80000</v>
      </c>
      <c r="CH21" s="65">
        <f>INT(TRUNC(($N25/4),-3)*4*$CB21-$CC21)</f>
        <v>-80000</v>
      </c>
      <c r="CI21" s="65">
        <f>INT(TRUNC(($N26/4),-3)*4*$CB21-$CC21)</f>
        <v>-80000</v>
      </c>
      <c r="CJ21" s="65">
        <f>INT(TRUNC(($N27/4),-3)*4*$CB21-$CC21)</f>
        <v>-80000</v>
      </c>
      <c r="CK21" s="65">
        <f>INT(TRUNC(($N28/4),-3)*4*$CB21-$CC21)</f>
        <v>-80000</v>
      </c>
      <c r="CR21" s="48">
        <v>12</v>
      </c>
      <c r="CS21" s="20" t="s">
        <v>106</v>
      </c>
      <c r="CT21" s="20">
        <v>4</v>
      </c>
      <c r="CY21" s="19"/>
    </row>
    <row r="22" spans="1:103" ht="26.1" customHeight="1" x14ac:dyDescent="0.4">
      <c r="B22" s="163" t="s">
        <v>49</v>
      </c>
      <c r="C22" s="164"/>
      <c r="D22" s="164"/>
      <c r="E22" s="164"/>
      <c r="F22" s="164"/>
      <c r="G22" s="165"/>
      <c r="H22" s="166"/>
      <c r="I22" s="166"/>
      <c r="J22" s="166"/>
      <c r="K22" s="166"/>
      <c r="L22" s="166"/>
      <c r="M22" s="166"/>
      <c r="N22" s="167"/>
      <c r="O22" s="168"/>
      <c r="P22" s="168"/>
      <c r="Q22" s="168"/>
      <c r="R22" s="168"/>
      <c r="S22" s="168"/>
      <c r="T22" s="168"/>
      <c r="U22" s="169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1"/>
      <c r="AK22" s="172"/>
      <c r="AL22" s="172"/>
      <c r="AM22" s="172"/>
      <c r="AN22" s="172"/>
      <c r="AO22" s="173"/>
      <c r="AP22" s="159"/>
      <c r="AQ22" s="159"/>
      <c r="AR22" s="159"/>
      <c r="AS22" s="159"/>
      <c r="AT22" s="159"/>
      <c r="AU22" s="242"/>
      <c r="AV22" s="243"/>
      <c r="AW22" s="243"/>
      <c r="AX22" s="243"/>
      <c r="AY22" s="243"/>
      <c r="AZ22" s="243"/>
      <c r="BA22" s="243"/>
      <c r="BB22" s="243"/>
      <c r="BC22" s="244"/>
      <c r="BD22" s="4"/>
      <c r="BE22" s="60"/>
      <c r="BF22" s="61">
        <v>6</v>
      </c>
      <c r="BG22" s="5">
        <f t="shared" si="15"/>
        <v>0</v>
      </c>
      <c r="BH22" s="5">
        <f t="shared" si="2"/>
        <v>0</v>
      </c>
      <c r="BI22" s="5">
        <f t="shared" si="3"/>
        <v>0</v>
      </c>
      <c r="BJ22" s="5">
        <f t="shared" si="4"/>
        <v>0</v>
      </c>
      <c r="BK22" s="62">
        <f t="shared" si="16"/>
        <v>0</v>
      </c>
      <c r="BL22" s="62">
        <f t="shared" si="5"/>
        <v>0</v>
      </c>
      <c r="BM22" s="62">
        <f t="shared" si="10"/>
        <v>0</v>
      </c>
      <c r="BN22" s="62">
        <f t="shared" si="6"/>
        <v>0</v>
      </c>
      <c r="BO22" s="63">
        <f t="shared" si="17"/>
        <v>0</v>
      </c>
      <c r="BP22" s="63">
        <f t="shared" si="7"/>
        <v>0</v>
      </c>
      <c r="BQ22" s="63">
        <f t="shared" si="18"/>
        <v>0</v>
      </c>
      <c r="BR22" s="63">
        <f t="shared" si="11"/>
        <v>0</v>
      </c>
      <c r="BS22" s="63">
        <f t="shared" si="8"/>
        <v>0</v>
      </c>
      <c r="BT22" s="63" t="str">
        <f t="shared" si="9"/>
        <v/>
      </c>
      <c r="BU22" s="63" t="str">
        <f t="shared" si="19"/>
        <v/>
      </c>
      <c r="BV22" s="63" t="str">
        <f t="shared" si="12"/>
        <v/>
      </c>
      <c r="BW22" s="63" t="str">
        <f t="shared" si="20"/>
        <v/>
      </c>
      <c r="BX22" s="63" t="str">
        <f t="shared" si="13"/>
        <v/>
      </c>
      <c r="BY22" s="63" t="str">
        <f t="shared" si="14"/>
        <v/>
      </c>
      <c r="BZ22" s="64"/>
      <c r="CA22" s="56">
        <v>3600000</v>
      </c>
      <c r="CB22" s="57">
        <v>0.8</v>
      </c>
      <c r="CC22" s="58">
        <v>440000</v>
      </c>
      <c r="CD22" s="59">
        <f>INT(TRUNC(($N21/4),-3)*4*$CB22-$CC22)</f>
        <v>-440000</v>
      </c>
      <c r="CE22" s="59">
        <f>INT(TRUNC(($N22/4),-3)*4*$CB22-$CC22)</f>
        <v>-440000</v>
      </c>
      <c r="CF22" s="59">
        <f>INT(TRUNC(($N23/4),-3)*4*$CB22-$CC22)</f>
        <v>-440000</v>
      </c>
      <c r="CG22" s="65">
        <f>INT(TRUNC(($N24/4),-3)*4*$CB22-$CC22)</f>
        <v>-440000</v>
      </c>
      <c r="CH22" s="65">
        <f>INT(TRUNC(($N25/4),-3)*4*$CB22-$CC22)</f>
        <v>-440000</v>
      </c>
      <c r="CI22" s="65">
        <f>INT(TRUNC(($N26/4),-3)*4*$CB22-$CC22)</f>
        <v>-440000</v>
      </c>
      <c r="CJ22" s="65">
        <f>INT(TRUNC(($N27/4),-3)*4*$CB22-$CC22)</f>
        <v>-440000</v>
      </c>
      <c r="CK22" s="65">
        <f>INT(TRUNC(($N28/4),-3)*4*$CB22-$CC22)</f>
        <v>-440000</v>
      </c>
      <c r="CR22" s="48">
        <v>1</v>
      </c>
      <c r="CS22" s="20" t="s">
        <v>101</v>
      </c>
      <c r="CT22" s="20">
        <v>3</v>
      </c>
      <c r="CY22" s="19"/>
    </row>
    <row r="23" spans="1:103" ht="26.1" customHeight="1" x14ac:dyDescent="0.4">
      <c r="B23" s="163" t="s">
        <v>50</v>
      </c>
      <c r="C23" s="164"/>
      <c r="D23" s="164"/>
      <c r="E23" s="164"/>
      <c r="F23" s="164"/>
      <c r="G23" s="165"/>
      <c r="H23" s="166"/>
      <c r="I23" s="166"/>
      <c r="J23" s="166"/>
      <c r="K23" s="166"/>
      <c r="L23" s="166"/>
      <c r="M23" s="166"/>
      <c r="N23" s="167"/>
      <c r="O23" s="168"/>
      <c r="P23" s="168"/>
      <c r="Q23" s="168"/>
      <c r="R23" s="168"/>
      <c r="S23" s="168"/>
      <c r="T23" s="168"/>
      <c r="U23" s="169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1"/>
      <c r="AK23" s="172"/>
      <c r="AL23" s="172"/>
      <c r="AM23" s="172"/>
      <c r="AN23" s="172"/>
      <c r="AO23" s="173"/>
      <c r="AP23" s="159"/>
      <c r="AQ23" s="159"/>
      <c r="AR23" s="159"/>
      <c r="AS23" s="159"/>
      <c r="AT23" s="159"/>
      <c r="AU23" s="242"/>
      <c r="AV23" s="243"/>
      <c r="AW23" s="243"/>
      <c r="AX23" s="243"/>
      <c r="AY23" s="243"/>
      <c r="AZ23" s="243"/>
      <c r="BA23" s="243"/>
      <c r="BB23" s="243"/>
      <c r="BC23" s="244"/>
      <c r="BD23" s="4"/>
      <c r="BE23" s="60"/>
      <c r="BF23" s="61">
        <v>7</v>
      </c>
      <c r="BG23" s="5">
        <f t="shared" si="15"/>
        <v>0</v>
      </c>
      <c r="BH23" s="5">
        <f t="shared" si="2"/>
        <v>0</v>
      </c>
      <c r="BI23" s="5">
        <f t="shared" si="3"/>
        <v>0</v>
      </c>
      <c r="BJ23" s="5">
        <f t="shared" si="4"/>
        <v>0</v>
      </c>
      <c r="BK23" s="62">
        <f t="shared" si="16"/>
        <v>0</v>
      </c>
      <c r="BL23" s="62">
        <f t="shared" si="5"/>
        <v>0</v>
      </c>
      <c r="BM23" s="62">
        <f t="shared" si="10"/>
        <v>0</v>
      </c>
      <c r="BN23" s="62">
        <f t="shared" si="6"/>
        <v>0</v>
      </c>
      <c r="BO23" s="63">
        <f t="shared" si="17"/>
        <v>0</v>
      </c>
      <c r="BP23" s="63">
        <f t="shared" si="7"/>
        <v>0</v>
      </c>
      <c r="BQ23" s="63">
        <f t="shared" si="18"/>
        <v>0</v>
      </c>
      <c r="BR23" s="63">
        <f t="shared" si="11"/>
        <v>0</v>
      </c>
      <c r="BS23" s="63">
        <f t="shared" si="8"/>
        <v>0</v>
      </c>
      <c r="BT23" s="63" t="str">
        <f t="shared" si="9"/>
        <v/>
      </c>
      <c r="BU23" s="63" t="str">
        <f t="shared" si="19"/>
        <v/>
      </c>
      <c r="BV23" s="63" t="str">
        <f t="shared" si="12"/>
        <v/>
      </c>
      <c r="BW23" s="63" t="str">
        <f t="shared" si="20"/>
        <v/>
      </c>
      <c r="BX23" s="63" t="str">
        <f t="shared" si="13"/>
        <v/>
      </c>
      <c r="BY23" s="63" t="str">
        <f t="shared" si="14"/>
        <v/>
      </c>
      <c r="BZ23" s="64"/>
      <c r="CA23" s="56">
        <v>6600000</v>
      </c>
      <c r="CB23" s="57">
        <v>0.9</v>
      </c>
      <c r="CC23" s="58">
        <v>1100000</v>
      </c>
      <c r="CD23" s="59">
        <f>INT($N21*$CB23-$CC23)</f>
        <v>-1100000</v>
      </c>
      <c r="CE23" s="59">
        <f>INT($N22*$CB23-$CC23)</f>
        <v>-1100000</v>
      </c>
      <c r="CF23" s="59">
        <f>INT($N23*$CB23-$CC23)</f>
        <v>-1100000</v>
      </c>
      <c r="CG23" s="65">
        <f>INT($N24*$CB23-$CC23)</f>
        <v>-1100000</v>
      </c>
      <c r="CH23" s="65">
        <f>INT($N25*$CB23-$CC23)</f>
        <v>-1100000</v>
      </c>
      <c r="CI23" s="65">
        <f>INT($N26*$CB23-$CC23)</f>
        <v>-1100000</v>
      </c>
      <c r="CJ23" s="65">
        <f>INT($N27*$CB23-$CC23)</f>
        <v>-1100000</v>
      </c>
      <c r="CK23" s="65">
        <f>INT($N28*$CB23-$CC23)</f>
        <v>-1100000</v>
      </c>
      <c r="CR23" s="48">
        <v>2</v>
      </c>
      <c r="CS23" s="20" t="s">
        <v>105</v>
      </c>
      <c r="CT23" s="20">
        <v>2</v>
      </c>
      <c r="CY23" s="19"/>
    </row>
    <row r="24" spans="1:103" ht="26.1" customHeight="1" x14ac:dyDescent="0.4">
      <c r="B24" s="163" t="s">
        <v>51</v>
      </c>
      <c r="C24" s="164"/>
      <c r="D24" s="164"/>
      <c r="E24" s="164"/>
      <c r="F24" s="164"/>
      <c r="G24" s="165"/>
      <c r="H24" s="166"/>
      <c r="I24" s="166"/>
      <c r="J24" s="166"/>
      <c r="K24" s="166"/>
      <c r="L24" s="166"/>
      <c r="M24" s="166"/>
      <c r="N24" s="167"/>
      <c r="O24" s="168"/>
      <c r="P24" s="168"/>
      <c r="Q24" s="168"/>
      <c r="R24" s="168"/>
      <c r="S24" s="168"/>
      <c r="T24" s="168"/>
      <c r="U24" s="169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1"/>
      <c r="AK24" s="172"/>
      <c r="AL24" s="172"/>
      <c r="AM24" s="172"/>
      <c r="AN24" s="172"/>
      <c r="AO24" s="173"/>
      <c r="AP24" s="159"/>
      <c r="AQ24" s="159"/>
      <c r="AR24" s="159"/>
      <c r="AS24" s="159"/>
      <c r="AT24" s="159"/>
      <c r="AU24" s="242"/>
      <c r="AV24" s="243"/>
      <c r="AW24" s="243"/>
      <c r="AX24" s="243"/>
      <c r="AY24" s="243"/>
      <c r="AZ24" s="243"/>
      <c r="BA24" s="243"/>
      <c r="BB24" s="243"/>
      <c r="BC24" s="244"/>
      <c r="BD24" s="4"/>
      <c r="BE24" s="60"/>
      <c r="BF24" s="61">
        <v>8</v>
      </c>
      <c r="BG24" s="5">
        <f t="shared" si="15"/>
        <v>0</v>
      </c>
      <c r="BH24" s="5">
        <f t="shared" si="2"/>
        <v>0</v>
      </c>
      <c r="BI24" s="5">
        <f t="shared" si="3"/>
        <v>0</v>
      </c>
      <c r="BJ24" s="5">
        <f t="shared" si="4"/>
        <v>0</v>
      </c>
      <c r="BK24" s="62">
        <f t="shared" si="16"/>
        <v>0</v>
      </c>
      <c r="BL24" s="62">
        <f t="shared" si="5"/>
        <v>0</v>
      </c>
      <c r="BM24" s="62">
        <f t="shared" si="10"/>
        <v>0</v>
      </c>
      <c r="BN24" s="62">
        <f t="shared" si="6"/>
        <v>0</v>
      </c>
      <c r="BO24" s="63">
        <f t="shared" si="17"/>
        <v>0</v>
      </c>
      <c r="BP24" s="63">
        <f t="shared" si="7"/>
        <v>0</v>
      </c>
      <c r="BQ24" s="63">
        <f t="shared" si="18"/>
        <v>0</v>
      </c>
      <c r="BR24" s="63">
        <f t="shared" si="11"/>
        <v>0</v>
      </c>
      <c r="BS24" s="63">
        <f t="shared" si="8"/>
        <v>0</v>
      </c>
      <c r="BT24" s="63" t="str">
        <f t="shared" si="9"/>
        <v/>
      </c>
      <c r="BU24" s="63" t="str">
        <f t="shared" si="19"/>
        <v/>
      </c>
      <c r="BV24" s="63" t="str">
        <f t="shared" si="12"/>
        <v/>
      </c>
      <c r="BW24" s="63" t="str">
        <f t="shared" si="20"/>
        <v/>
      </c>
      <c r="BX24" s="63" t="str">
        <f t="shared" si="13"/>
        <v/>
      </c>
      <c r="BY24" s="63" t="str">
        <f t="shared" si="14"/>
        <v/>
      </c>
      <c r="BZ24" s="64"/>
      <c r="CA24" s="66">
        <v>8500000</v>
      </c>
      <c r="CB24" s="67"/>
      <c r="CC24" s="68">
        <v>1950000</v>
      </c>
      <c r="CD24" s="69">
        <f>$N21-$CC24</f>
        <v>-1950000</v>
      </c>
      <c r="CE24" s="69">
        <f>$N22-$CC24</f>
        <v>-1950000</v>
      </c>
      <c r="CF24" s="69">
        <f>$N23-$CC24</f>
        <v>-1950000</v>
      </c>
      <c r="CG24" s="69">
        <f>$N24-$CC24</f>
        <v>-1950000</v>
      </c>
      <c r="CH24" s="69">
        <f>$N25-$CC24</f>
        <v>-1950000</v>
      </c>
      <c r="CI24" s="69">
        <f>$N26-$CC24</f>
        <v>-1950000</v>
      </c>
      <c r="CJ24" s="69">
        <f>$N27-$CC24</f>
        <v>-1950000</v>
      </c>
      <c r="CK24" s="69">
        <f>$N28-$CC24</f>
        <v>-1950000</v>
      </c>
      <c r="CR24" s="48">
        <v>3</v>
      </c>
      <c r="CS24" s="20" t="s">
        <v>104</v>
      </c>
      <c r="CT24" s="20">
        <v>1</v>
      </c>
      <c r="CY24" s="19"/>
    </row>
    <row r="25" spans="1:103" s="70" customFormat="1" ht="26.1" customHeight="1" x14ac:dyDescent="0.4">
      <c r="A25" s="20"/>
      <c r="B25" s="163" t="s">
        <v>52</v>
      </c>
      <c r="C25" s="164"/>
      <c r="D25" s="164"/>
      <c r="E25" s="164"/>
      <c r="F25" s="164"/>
      <c r="G25" s="165"/>
      <c r="H25" s="166"/>
      <c r="I25" s="166"/>
      <c r="J25" s="166"/>
      <c r="K25" s="166"/>
      <c r="L25" s="166"/>
      <c r="M25" s="166"/>
      <c r="N25" s="167"/>
      <c r="O25" s="168"/>
      <c r="P25" s="168"/>
      <c r="Q25" s="168"/>
      <c r="R25" s="168"/>
      <c r="S25" s="168"/>
      <c r="T25" s="168"/>
      <c r="U25" s="169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1"/>
      <c r="AK25" s="172"/>
      <c r="AL25" s="172"/>
      <c r="AM25" s="172"/>
      <c r="AN25" s="172"/>
      <c r="AO25" s="173"/>
      <c r="AP25" s="159"/>
      <c r="AQ25" s="159"/>
      <c r="AR25" s="159"/>
      <c r="AS25" s="159"/>
      <c r="AT25" s="159"/>
      <c r="AU25" s="242"/>
      <c r="AV25" s="243"/>
      <c r="AW25" s="243"/>
      <c r="AX25" s="243"/>
      <c r="AY25" s="243"/>
      <c r="AZ25" s="243"/>
      <c r="BA25" s="243"/>
      <c r="BB25" s="243"/>
      <c r="BC25" s="244"/>
      <c r="BD25" s="4"/>
      <c r="BE25" s="60"/>
      <c r="BF25" s="4"/>
      <c r="BG25" s="6"/>
      <c r="BH25" s="6"/>
      <c r="BI25" s="6"/>
      <c r="BJ25" s="6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2"/>
      <c r="CB25" s="30"/>
      <c r="CC25" s="22"/>
      <c r="CD25" s="24"/>
      <c r="CL25" s="19"/>
      <c r="CY25" s="19"/>
    </row>
    <row r="26" spans="1:103" s="70" customFormat="1" ht="26.1" customHeight="1" x14ac:dyDescent="0.4">
      <c r="A26" s="20"/>
      <c r="B26" s="163" t="s">
        <v>53</v>
      </c>
      <c r="C26" s="164"/>
      <c r="D26" s="164"/>
      <c r="E26" s="164"/>
      <c r="F26" s="164"/>
      <c r="G26" s="165"/>
      <c r="H26" s="166"/>
      <c r="I26" s="166"/>
      <c r="J26" s="166"/>
      <c r="K26" s="166"/>
      <c r="L26" s="166"/>
      <c r="M26" s="166"/>
      <c r="N26" s="167"/>
      <c r="O26" s="168"/>
      <c r="P26" s="168"/>
      <c r="Q26" s="168"/>
      <c r="R26" s="168"/>
      <c r="S26" s="168"/>
      <c r="T26" s="168"/>
      <c r="U26" s="169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1"/>
      <c r="AK26" s="172"/>
      <c r="AL26" s="172"/>
      <c r="AM26" s="172"/>
      <c r="AN26" s="172"/>
      <c r="AO26" s="173"/>
      <c r="AP26" s="159"/>
      <c r="AQ26" s="159"/>
      <c r="AR26" s="159"/>
      <c r="AS26" s="159"/>
      <c r="AT26" s="159"/>
      <c r="AU26" s="242"/>
      <c r="AV26" s="243"/>
      <c r="AW26" s="243"/>
      <c r="AX26" s="243"/>
      <c r="AY26" s="243"/>
      <c r="AZ26" s="243"/>
      <c r="BA26" s="243"/>
      <c r="BB26" s="243"/>
      <c r="BC26" s="244"/>
      <c r="BD26" s="4"/>
      <c r="BE26" s="60"/>
      <c r="BF26" s="4"/>
      <c r="BG26" s="6"/>
      <c r="BH26" s="6"/>
      <c r="BI26" s="6"/>
      <c r="BJ26" s="6"/>
      <c r="BK26" s="21"/>
      <c r="BL26" s="21"/>
      <c r="BM26" s="245" t="s">
        <v>54</v>
      </c>
      <c r="BN26" s="245" t="s">
        <v>55</v>
      </c>
      <c r="BO26" s="71"/>
      <c r="BP26" s="21"/>
      <c r="BQ26" s="21"/>
      <c r="BR26" s="21"/>
      <c r="BS26" s="245" t="s">
        <v>56</v>
      </c>
      <c r="BT26" s="227" t="s">
        <v>57</v>
      </c>
      <c r="BU26" s="238" t="s">
        <v>95</v>
      </c>
      <c r="BV26" s="238" t="s">
        <v>96</v>
      </c>
      <c r="BW26" s="238" t="s">
        <v>97</v>
      </c>
      <c r="BX26" s="238" t="s">
        <v>98</v>
      </c>
      <c r="BY26" s="238" t="s">
        <v>58</v>
      </c>
      <c r="BZ26" s="21"/>
      <c r="CA26" s="240" t="s">
        <v>59</v>
      </c>
      <c r="CB26" s="240"/>
      <c r="CC26" s="240"/>
      <c r="CD26" s="24"/>
      <c r="CL26" s="19"/>
      <c r="CY26" s="19"/>
    </row>
    <row r="27" spans="1:103" s="70" customFormat="1" ht="26.1" customHeight="1" x14ac:dyDescent="0.4">
      <c r="A27" s="20"/>
      <c r="B27" s="163" t="s">
        <v>60</v>
      </c>
      <c r="C27" s="164"/>
      <c r="D27" s="164"/>
      <c r="E27" s="164"/>
      <c r="F27" s="164"/>
      <c r="G27" s="165"/>
      <c r="H27" s="166"/>
      <c r="I27" s="166"/>
      <c r="J27" s="166"/>
      <c r="K27" s="166"/>
      <c r="L27" s="166"/>
      <c r="M27" s="166"/>
      <c r="N27" s="167"/>
      <c r="O27" s="168"/>
      <c r="P27" s="168"/>
      <c r="Q27" s="168"/>
      <c r="R27" s="168"/>
      <c r="S27" s="168"/>
      <c r="T27" s="168"/>
      <c r="U27" s="169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1"/>
      <c r="AK27" s="172"/>
      <c r="AL27" s="172"/>
      <c r="AM27" s="172"/>
      <c r="AN27" s="172"/>
      <c r="AO27" s="173"/>
      <c r="AP27" s="159"/>
      <c r="AQ27" s="159"/>
      <c r="AR27" s="159"/>
      <c r="AS27" s="159"/>
      <c r="AT27" s="159"/>
      <c r="AU27" s="242"/>
      <c r="AV27" s="243"/>
      <c r="AW27" s="243"/>
      <c r="AX27" s="243"/>
      <c r="AY27" s="243"/>
      <c r="AZ27" s="243"/>
      <c r="BA27" s="243"/>
      <c r="BB27" s="243"/>
      <c r="BC27" s="244"/>
      <c r="BD27" s="4"/>
      <c r="BE27" s="60"/>
      <c r="BF27" s="4"/>
      <c r="BG27" s="6"/>
      <c r="BH27" s="6"/>
      <c r="BI27" s="6"/>
      <c r="BJ27" s="6"/>
      <c r="BK27" s="21"/>
      <c r="BL27" s="21"/>
      <c r="BM27" s="245"/>
      <c r="BN27" s="245"/>
      <c r="BO27" s="21"/>
      <c r="BP27" s="21"/>
      <c r="BQ27" s="21"/>
      <c r="BR27" s="21"/>
      <c r="BS27" s="245"/>
      <c r="BT27" s="227"/>
      <c r="BU27" s="239"/>
      <c r="BV27" s="239"/>
      <c r="BW27" s="239"/>
      <c r="BX27" s="239"/>
      <c r="BY27" s="239"/>
      <c r="BZ27" s="21"/>
      <c r="CA27" s="241"/>
      <c r="CB27" s="241"/>
      <c r="CC27" s="241"/>
      <c r="CD27" s="41"/>
      <c r="CE27" s="41"/>
      <c r="CF27" s="41"/>
      <c r="CG27" s="41"/>
      <c r="CH27" s="41"/>
      <c r="CI27" s="41"/>
      <c r="CJ27" s="41"/>
      <c r="CK27" s="41"/>
      <c r="CL27" s="19"/>
      <c r="CY27" s="19"/>
    </row>
    <row r="28" spans="1:103" s="70" customFormat="1" ht="26.1" customHeight="1" thickBot="1" x14ac:dyDescent="0.45">
      <c r="A28" s="20"/>
      <c r="B28" s="163" t="s">
        <v>61</v>
      </c>
      <c r="C28" s="164"/>
      <c r="D28" s="164"/>
      <c r="E28" s="164"/>
      <c r="F28" s="164"/>
      <c r="G28" s="229"/>
      <c r="H28" s="230"/>
      <c r="I28" s="230"/>
      <c r="J28" s="230"/>
      <c r="K28" s="230"/>
      <c r="L28" s="230"/>
      <c r="M28" s="230"/>
      <c r="N28" s="231"/>
      <c r="O28" s="232"/>
      <c r="P28" s="232"/>
      <c r="Q28" s="232"/>
      <c r="R28" s="232"/>
      <c r="S28" s="232"/>
      <c r="T28" s="232"/>
      <c r="U28" s="233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5"/>
      <c r="AK28" s="236"/>
      <c r="AL28" s="236"/>
      <c r="AM28" s="236"/>
      <c r="AN28" s="236"/>
      <c r="AO28" s="237"/>
      <c r="AP28" s="159"/>
      <c r="AQ28" s="159"/>
      <c r="AR28" s="159"/>
      <c r="AS28" s="159"/>
      <c r="AT28" s="159"/>
      <c r="AU28" s="160"/>
      <c r="AV28" s="161"/>
      <c r="AW28" s="161"/>
      <c r="AX28" s="161"/>
      <c r="AY28" s="161"/>
      <c r="AZ28" s="161"/>
      <c r="BA28" s="161"/>
      <c r="BB28" s="161"/>
      <c r="BC28" s="162"/>
      <c r="BD28" s="4"/>
      <c r="BE28" s="60"/>
      <c r="BF28" s="4"/>
      <c r="BG28" s="6"/>
      <c r="BH28" s="6"/>
      <c r="BI28" s="6"/>
      <c r="BJ28" s="6"/>
      <c r="BK28" s="21"/>
      <c r="BL28" s="21"/>
      <c r="BM28" s="72">
        <f>IF(SUM(BM17:BM24)=0,1,SUM(BM17:BM24))</f>
        <v>1</v>
      </c>
      <c r="BN28" s="72">
        <f>SUM(BN17:BN24)</f>
        <v>0</v>
      </c>
      <c r="BO28" s="21"/>
      <c r="BP28" s="21"/>
      <c r="BQ28" s="21"/>
      <c r="BR28" s="21"/>
      <c r="BS28" s="63">
        <f>SUM(BS17:BS24)</f>
        <v>0</v>
      </c>
      <c r="BT28" s="63">
        <f t="shared" ref="BT28:BX28" si="21">SUM(BT17:BT24)</f>
        <v>0</v>
      </c>
      <c r="BU28" s="63">
        <f t="shared" si="21"/>
        <v>0</v>
      </c>
      <c r="BV28" s="63">
        <f t="shared" si="21"/>
        <v>0</v>
      </c>
      <c r="BW28" s="63">
        <f t="shared" si="21"/>
        <v>0</v>
      </c>
      <c r="BX28" s="63">
        <f t="shared" si="21"/>
        <v>0</v>
      </c>
      <c r="BY28" s="63">
        <f>SUM(BY17:BY24)</f>
        <v>0</v>
      </c>
      <c r="BZ28" s="21"/>
      <c r="CA28" s="227" t="s">
        <v>62</v>
      </c>
      <c r="CB28" s="227"/>
      <c r="CC28" s="227"/>
      <c r="CD28" s="212" t="s">
        <v>13</v>
      </c>
      <c r="CE28" s="212"/>
      <c r="CF28" s="212"/>
      <c r="CG28" s="212"/>
      <c r="CH28" s="212"/>
      <c r="CI28" s="212"/>
      <c r="CJ28" s="212"/>
      <c r="CK28" s="212"/>
      <c r="CL28" s="19"/>
      <c r="CY28" s="19"/>
    </row>
    <row r="29" spans="1:103" s="70" customFormat="1" ht="26.1" customHeight="1" x14ac:dyDescent="0.4">
      <c r="B29" s="228" t="s">
        <v>134</v>
      </c>
      <c r="C29" s="228"/>
      <c r="D29" s="228"/>
      <c r="E29" s="228"/>
      <c r="F29" s="22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4"/>
      <c r="BE29" s="60"/>
      <c r="BF29" s="4"/>
      <c r="BG29" s="6"/>
      <c r="BH29" s="6"/>
      <c r="BI29" s="6"/>
      <c r="BJ29" s="6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73" t="s">
        <v>63</v>
      </c>
      <c r="CB29" s="227" t="s">
        <v>64</v>
      </c>
      <c r="CC29" s="213"/>
      <c r="CD29" s="74" t="s">
        <v>33</v>
      </c>
      <c r="CE29" s="74" t="s">
        <v>34</v>
      </c>
      <c r="CF29" s="74" t="s">
        <v>35</v>
      </c>
      <c r="CG29" s="74" t="s">
        <v>36</v>
      </c>
      <c r="CH29" s="74" t="s">
        <v>37</v>
      </c>
      <c r="CI29" s="74" t="s">
        <v>38</v>
      </c>
      <c r="CJ29" s="74" t="s">
        <v>39</v>
      </c>
      <c r="CK29" s="74" t="s">
        <v>40</v>
      </c>
      <c r="CL29" s="19"/>
      <c r="CY29" s="19"/>
    </row>
    <row r="30" spans="1:103" s="70" customFormat="1" ht="26.1" customHeight="1" x14ac:dyDescent="0.4">
      <c r="B30" s="198" t="s">
        <v>132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4"/>
      <c r="BE30" s="60"/>
      <c r="BF30" s="4"/>
      <c r="BG30" s="6"/>
      <c r="BH30" s="6"/>
      <c r="BI30" s="6"/>
      <c r="BJ30" s="6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75">
        <v>0</v>
      </c>
      <c r="CB30" s="76"/>
      <c r="CC30" s="77">
        <v>600000</v>
      </c>
      <c r="CD30" s="78">
        <f>IF($V21&lt;$CC30,0,$V21-$CC30)</f>
        <v>0</v>
      </c>
      <c r="CE30" s="78">
        <f>IF($V22&lt;$CC30,0,$V22-$CC30)</f>
        <v>0</v>
      </c>
      <c r="CF30" s="78">
        <f>IF($V23&lt;$CC30,0,$V23-$CC30)</f>
        <v>0</v>
      </c>
      <c r="CG30" s="78">
        <f>IF($V24&lt;$CC30,0,$V24-$CC30)</f>
        <v>0</v>
      </c>
      <c r="CH30" s="78">
        <f>IF($V25&lt;$CC30,0,$V25-$CC30)</f>
        <v>0</v>
      </c>
      <c r="CI30" s="78">
        <f>IF($V26&lt;$CC30,0,$V26-$CC30)</f>
        <v>0</v>
      </c>
      <c r="CJ30" s="78">
        <f>IF($V27&lt;$CC30,0,$V27-$CC30)</f>
        <v>0</v>
      </c>
      <c r="CK30" s="78">
        <f>IF($V28&lt;$CC30,0,$V28-$CC30)</f>
        <v>0</v>
      </c>
      <c r="CL30" s="19"/>
      <c r="CY30" s="19"/>
    </row>
    <row r="31" spans="1:103" s="70" customFormat="1" ht="26.1" customHeight="1" x14ac:dyDescent="0.4">
      <c r="B31" s="199" t="s">
        <v>125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4"/>
      <c r="BE31" s="60"/>
      <c r="BF31" s="4"/>
      <c r="BK31" s="21"/>
      <c r="BL31" s="21"/>
      <c r="BM31" s="21"/>
      <c r="BN31" s="21"/>
      <c r="BO31" s="21"/>
      <c r="BP31" s="21"/>
      <c r="BQ31" s="21"/>
      <c r="BR31" s="21"/>
      <c r="BS31" s="6"/>
      <c r="BT31" s="6"/>
      <c r="BU31" s="6"/>
      <c r="BV31" s="6"/>
      <c r="BW31" s="21"/>
      <c r="BX31" s="21"/>
      <c r="BY31" s="21"/>
      <c r="BZ31" s="21"/>
      <c r="CA31" s="79">
        <v>1300000</v>
      </c>
      <c r="CB31" s="80">
        <v>0.75</v>
      </c>
      <c r="CC31" s="81">
        <v>275000</v>
      </c>
      <c r="CD31" s="82">
        <f>INT($V21*$CB31-$CC31)</f>
        <v>-275000</v>
      </c>
      <c r="CE31" s="82">
        <f>INT($V22*$CB31-$CC31)</f>
        <v>-275000</v>
      </c>
      <c r="CF31" s="82">
        <f>INT($V23*$CB31-$CC31)</f>
        <v>-275000</v>
      </c>
      <c r="CG31" s="82">
        <f>INT($V24*$CB31-$CC31)</f>
        <v>-275000</v>
      </c>
      <c r="CH31" s="82">
        <f>INT($V25*$CB31-$CC31)</f>
        <v>-275000</v>
      </c>
      <c r="CI31" s="82">
        <f>INT($V26*$CB31-$CC31)</f>
        <v>-275000</v>
      </c>
      <c r="CJ31" s="82">
        <f>INT($V27*$CB31-$CC31)</f>
        <v>-275000</v>
      </c>
      <c r="CK31" s="82">
        <f>INT($V28*$CB31-$CC31)</f>
        <v>-275000</v>
      </c>
      <c r="CL31" s="19"/>
      <c r="CY31" s="19"/>
    </row>
    <row r="32" spans="1:103" s="70" customFormat="1" ht="26.1" customHeight="1" x14ac:dyDescent="0.4">
      <c r="B32" s="83"/>
      <c r="C32" s="83"/>
      <c r="D32" s="201" t="s">
        <v>133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60"/>
      <c r="BF32" s="4"/>
      <c r="BK32" s="21"/>
      <c r="BL32" s="21"/>
      <c r="BM32" s="21"/>
      <c r="BN32" s="21"/>
      <c r="BO32" s="21"/>
      <c r="BP32" s="21"/>
      <c r="BQ32" s="21"/>
      <c r="BR32" s="21"/>
      <c r="BS32" s="22"/>
      <c r="BT32" s="46" t="s">
        <v>65</v>
      </c>
      <c r="BU32" s="46" t="s">
        <v>66</v>
      </c>
      <c r="BV32" s="46" t="s">
        <v>67</v>
      </c>
      <c r="BW32" s="21"/>
      <c r="BX32" s="21"/>
      <c r="BY32" s="21"/>
      <c r="BZ32" s="21"/>
      <c r="CA32" s="79">
        <v>4100000</v>
      </c>
      <c r="CB32" s="80">
        <v>0.85</v>
      </c>
      <c r="CC32" s="81">
        <v>685000</v>
      </c>
      <c r="CD32" s="82">
        <f>INT($V21*$CB32-$CC32)</f>
        <v>-685000</v>
      </c>
      <c r="CE32" s="82">
        <f>INT($V22*$CB32-$CC32)</f>
        <v>-685000</v>
      </c>
      <c r="CF32" s="82">
        <f>INT($V23*$CB32-$CC32)</f>
        <v>-685000</v>
      </c>
      <c r="CG32" s="82">
        <f>INT($V24*$CB32-$CC32)</f>
        <v>-685000</v>
      </c>
      <c r="CH32" s="82">
        <f>INT($V25*$CB32-$CC32)</f>
        <v>-685000</v>
      </c>
      <c r="CI32" s="82">
        <f>INT($V26*$CB32-$CC32)</f>
        <v>-685000</v>
      </c>
      <c r="CJ32" s="82">
        <f>INT($V27*$CB32-$CC32)</f>
        <v>-685000</v>
      </c>
      <c r="CK32" s="82">
        <f>INT($V28*$CB32-$CC32)</f>
        <v>-685000</v>
      </c>
      <c r="CL32" s="19"/>
      <c r="CY32" s="19"/>
    </row>
    <row r="33" spans="1:103" ht="26.1" customHeight="1" x14ac:dyDescent="0.4">
      <c r="A33" s="70"/>
      <c r="B33" s="83"/>
      <c r="C33" s="83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G33" s="25" t="s">
        <v>68</v>
      </c>
      <c r="BH33" s="20"/>
      <c r="BI33" s="20"/>
      <c r="BJ33" s="20"/>
      <c r="BK33" s="20"/>
      <c r="BL33" s="20"/>
      <c r="BM33" s="20"/>
      <c r="BN33" s="20"/>
      <c r="BS33" s="84" t="s">
        <v>69</v>
      </c>
      <c r="BT33" s="63">
        <f>IF(SUM(BU17:BU24)&gt;0,BT10+(100000*(BM28-1)),0)</f>
        <v>0</v>
      </c>
      <c r="BU33" s="63" t="b">
        <f>IF(SUM(BU17:BU24)&gt;0,BT10+BU10*BN28+(100000*(BM28-1)))</f>
        <v>0</v>
      </c>
      <c r="BV33" s="63" t="b">
        <f>IF(SUM(BU17:BU24)&gt;0,BT10+BV10*BN28+(100000*(BM28-1)))</f>
        <v>0</v>
      </c>
      <c r="BZ33" s="21"/>
      <c r="CA33" s="79">
        <v>7700000</v>
      </c>
      <c r="CB33" s="80">
        <v>0.95</v>
      </c>
      <c r="CC33" s="81">
        <v>1455000</v>
      </c>
      <c r="CD33" s="82">
        <f>INT($V21*$CB33-$CC33)</f>
        <v>-1455000</v>
      </c>
      <c r="CE33" s="82">
        <f>INT($V22*$CB33-$CC33)</f>
        <v>-1455000</v>
      </c>
      <c r="CF33" s="82">
        <f>INT($V23*$CB33-$CC33)</f>
        <v>-1455000</v>
      </c>
      <c r="CG33" s="82">
        <f>INT($V24*$CB33-$CC33)</f>
        <v>-1455000</v>
      </c>
      <c r="CH33" s="82">
        <f>INT($V25*$CB33-$CC33)</f>
        <v>-1455000</v>
      </c>
      <c r="CI33" s="82">
        <f>INT($V26*$CB33-$CC33)</f>
        <v>-1455000</v>
      </c>
      <c r="CJ33" s="82">
        <f>INT($V27*$CB33-$CC33)</f>
        <v>-1455000</v>
      </c>
      <c r="CK33" s="82">
        <f>INT($V28*$CB33-$CC33)</f>
        <v>-1455000</v>
      </c>
      <c r="CY33" s="19"/>
    </row>
    <row r="34" spans="1:103" ht="26.1" customHeight="1" x14ac:dyDescent="0.4">
      <c r="A34" s="70"/>
      <c r="B34" s="85"/>
      <c r="C34" s="85"/>
      <c r="D34" s="85"/>
      <c r="E34" s="85"/>
      <c r="F34" s="85"/>
      <c r="G34" s="13"/>
      <c r="H34" s="13"/>
      <c r="I34" s="13"/>
      <c r="J34" s="13"/>
      <c r="K34" s="13"/>
      <c r="L34" s="13"/>
      <c r="M34" s="13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G34" s="223" t="s">
        <v>70</v>
      </c>
      <c r="BH34" s="224"/>
      <c r="BI34" s="206" t="s">
        <v>71</v>
      </c>
      <c r="BJ34" s="207"/>
      <c r="BK34" s="208"/>
      <c r="BL34" s="206" t="s">
        <v>72</v>
      </c>
      <c r="BM34" s="207"/>
      <c r="BN34" s="208"/>
      <c r="BS34" s="87" t="s">
        <v>73</v>
      </c>
      <c r="BT34" s="62" t="str">
        <f>IF(BN28&gt;0,IF(BS28&lt;=BT33,"７割軽減",IF(BS28&lt;=BU33,"５割軽減",IF(BS28&lt;=BV33,"２割軽減","軽減非該当"))),"")</f>
        <v/>
      </c>
      <c r="BU34" s="21"/>
      <c r="BV34" s="21"/>
      <c r="CA34" s="88">
        <v>10000000</v>
      </c>
      <c r="CB34" s="89"/>
      <c r="CC34" s="90">
        <v>1955000</v>
      </c>
      <c r="CD34" s="91">
        <f>$V21-$CC34</f>
        <v>-1955000</v>
      </c>
      <c r="CE34" s="91">
        <f>$V22-$CC34</f>
        <v>-1955000</v>
      </c>
      <c r="CF34" s="91">
        <f>$V23-$CC34</f>
        <v>-1955000</v>
      </c>
      <c r="CG34" s="91">
        <f>$V24-$CC34</f>
        <v>-1955000</v>
      </c>
      <c r="CH34" s="91">
        <f>$V25-$CC34</f>
        <v>-1955000</v>
      </c>
      <c r="CI34" s="91">
        <f>$V26-$CC34</f>
        <v>-1955000</v>
      </c>
      <c r="CJ34" s="91">
        <f>$V27-$CC34</f>
        <v>-1955000</v>
      </c>
      <c r="CK34" s="91">
        <f>$V28-$CC34</f>
        <v>-1955000</v>
      </c>
      <c r="CY34" s="19"/>
    </row>
    <row r="35" spans="1:103" ht="26.1" customHeight="1" x14ac:dyDescent="0.4">
      <c r="A35" s="25" t="s">
        <v>74</v>
      </c>
      <c r="B35" s="25"/>
      <c r="C35" s="85"/>
      <c r="D35" s="85"/>
      <c r="E35" s="85"/>
      <c r="F35" s="85"/>
      <c r="G35" s="13"/>
      <c r="H35" s="13"/>
      <c r="I35" s="13"/>
      <c r="J35" s="13"/>
      <c r="K35" s="13"/>
      <c r="L35" s="13"/>
      <c r="M35" s="13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92"/>
      <c r="BG35" s="225"/>
      <c r="BH35" s="226"/>
      <c r="BI35" s="93" t="s">
        <v>1</v>
      </c>
      <c r="BJ35" s="94" t="s">
        <v>75</v>
      </c>
      <c r="BK35" s="95" t="s">
        <v>3</v>
      </c>
      <c r="BL35" s="93" t="s">
        <v>1</v>
      </c>
      <c r="BM35" s="94" t="s">
        <v>75</v>
      </c>
      <c r="BN35" s="95" t="s">
        <v>3</v>
      </c>
      <c r="BS35" s="87" t="s">
        <v>76</v>
      </c>
      <c r="BT35" s="96">
        <f>IF(BT34="７割軽減",30%,IF(BT34="５割軽減",50%,IF(BT34="２割軽減",80%,100%)))</f>
        <v>1</v>
      </c>
      <c r="BU35" s="97"/>
      <c r="BV35" s="21"/>
      <c r="CA35" s="209" t="s">
        <v>77</v>
      </c>
      <c r="CB35" s="210"/>
      <c r="CC35" s="211"/>
      <c r="CD35" s="212" t="s">
        <v>13</v>
      </c>
      <c r="CE35" s="212"/>
      <c r="CF35" s="212"/>
      <c r="CG35" s="212"/>
      <c r="CH35" s="212"/>
      <c r="CI35" s="212"/>
      <c r="CJ35" s="212"/>
      <c r="CK35" s="212"/>
      <c r="CY35" s="19"/>
    </row>
    <row r="36" spans="1:103" ht="26.1" customHeight="1" x14ac:dyDescent="0.4">
      <c r="B36" s="98" t="s">
        <v>78</v>
      </c>
      <c r="C36" s="98"/>
      <c r="G36" s="99"/>
      <c r="H36" s="48"/>
      <c r="I36" s="48"/>
      <c r="BD36" s="92"/>
      <c r="BE36" s="100"/>
      <c r="BF36" s="92"/>
      <c r="BG36" s="147" t="s">
        <v>79</v>
      </c>
      <c r="BH36" s="148"/>
      <c r="BI36" s="7">
        <f>IF($S$14="","",SUM(BT17:BT24))</f>
        <v>0</v>
      </c>
      <c r="BJ36" s="8">
        <f>IF($S$14="","",SUM(BV17:BV24))</f>
        <v>0</v>
      </c>
      <c r="BK36" s="9">
        <f>IF($S$14="","",SUM(BX17:BX24))</f>
        <v>0</v>
      </c>
      <c r="BL36" s="7">
        <f>IF($S$14="","",SUM(BT17:BT24))</f>
        <v>0</v>
      </c>
      <c r="BM36" s="8">
        <f>IF($S$14="","",SUM(BV17:BV24))</f>
        <v>0</v>
      </c>
      <c r="BN36" s="9">
        <f>IF($S$14="","",SUM(BX17:BX24))</f>
        <v>0</v>
      </c>
      <c r="CA36" s="73" t="s">
        <v>63</v>
      </c>
      <c r="CB36" s="213" t="s">
        <v>64</v>
      </c>
      <c r="CC36" s="214"/>
      <c r="CD36" s="74" t="s">
        <v>33</v>
      </c>
      <c r="CE36" s="74" t="s">
        <v>34</v>
      </c>
      <c r="CF36" s="74" t="s">
        <v>35</v>
      </c>
      <c r="CG36" s="74" t="s">
        <v>36</v>
      </c>
      <c r="CH36" s="74" t="s">
        <v>37</v>
      </c>
      <c r="CI36" s="74" t="s">
        <v>38</v>
      </c>
      <c r="CJ36" s="74" t="s">
        <v>39</v>
      </c>
      <c r="CK36" s="74" t="s">
        <v>40</v>
      </c>
      <c r="CY36" s="19"/>
    </row>
    <row r="37" spans="1:103" ht="26.1" customHeight="1" x14ac:dyDescent="0.4">
      <c r="B37" s="49"/>
      <c r="C37" s="49"/>
      <c r="D37" s="49"/>
      <c r="E37" s="49"/>
      <c r="F37" s="49"/>
      <c r="G37" s="49"/>
      <c r="J37" s="215" t="s">
        <v>80</v>
      </c>
      <c r="K37" s="216"/>
      <c r="L37" s="216"/>
      <c r="M37" s="216"/>
      <c r="N37" s="216"/>
      <c r="O37" s="216"/>
      <c r="P37" s="216"/>
      <c r="Q37" s="216"/>
      <c r="R37" s="216"/>
      <c r="S37" s="216"/>
      <c r="T37" s="217"/>
      <c r="V37" s="218" t="s">
        <v>81</v>
      </c>
      <c r="W37" s="219"/>
      <c r="X37" s="219"/>
      <c r="Y37" s="219"/>
      <c r="Z37" s="219"/>
      <c r="AA37" s="219"/>
      <c r="AB37" s="219"/>
      <c r="AC37" s="219"/>
      <c r="AD37" s="219"/>
      <c r="AE37" s="219"/>
      <c r="AF37" s="220"/>
      <c r="AG37" s="38"/>
      <c r="AH37" s="221" t="s">
        <v>82</v>
      </c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101"/>
      <c r="AT37" s="92"/>
      <c r="AU37" s="92"/>
      <c r="AV37" s="92"/>
      <c r="AW37" s="92"/>
      <c r="AX37" s="92"/>
      <c r="AY37" s="92"/>
      <c r="AZ37" s="92"/>
      <c r="BA37" s="92"/>
      <c r="BB37" s="92"/>
      <c r="BE37" s="100"/>
      <c r="BF37" s="92"/>
      <c r="BG37" s="147" t="s">
        <v>83</v>
      </c>
      <c r="BH37" s="148"/>
      <c r="BI37" s="7">
        <f>IF($S$14="","",SUM(BU17:BU24)*BT35)</f>
        <v>0</v>
      </c>
      <c r="BJ37" s="8">
        <f>IF($S$14="","",SUM(BW17:BW24)*BT35)</f>
        <v>0</v>
      </c>
      <c r="BK37" s="9">
        <f>IF($S$14="","",SUM(BY17:BY24)*BT35)</f>
        <v>0</v>
      </c>
      <c r="BL37" s="7">
        <f>IF($S$14="","",SUM(BU17:BU24))</f>
        <v>0</v>
      </c>
      <c r="BM37" s="8">
        <f>IF($S$14="","",SUM(BW17:BW24))</f>
        <v>0</v>
      </c>
      <c r="BN37" s="9">
        <f>IF($S$14="","",SUM(BY17:BY24))</f>
        <v>0</v>
      </c>
      <c r="CA37" s="102">
        <v>0</v>
      </c>
      <c r="CB37" s="103"/>
      <c r="CC37" s="77">
        <v>1100000</v>
      </c>
      <c r="CD37" s="78">
        <f>IF($V21&lt;$CC37,0,$V21-$CC37)</f>
        <v>0</v>
      </c>
      <c r="CE37" s="78">
        <f>IF($V22&lt;$CC37,0,$V22-$CC37)</f>
        <v>0</v>
      </c>
      <c r="CF37" s="78">
        <f>IF($V23&lt;$CC37,0,$V23-$CC37)</f>
        <v>0</v>
      </c>
      <c r="CG37" s="78">
        <f>IF($V24&lt;$CC37,0,$V24-$CC37)</f>
        <v>0</v>
      </c>
      <c r="CH37" s="78">
        <f>IF($V25&lt;$CC37,0,$V25-$CC37)</f>
        <v>0</v>
      </c>
      <c r="CI37" s="78">
        <f>IF($V26&lt;$CC37,0,$V26-$CC37)</f>
        <v>0</v>
      </c>
      <c r="CJ37" s="78">
        <f>IF($V27&lt;$CC37,0,$V27-$CC37)</f>
        <v>0</v>
      </c>
      <c r="CK37" s="78">
        <f>IF($V28&lt;$CC37,0,$V28-$CC37)</f>
        <v>0</v>
      </c>
      <c r="CY37" s="19"/>
    </row>
    <row r="38" spans="1:103" ht="26.1" customHeight="1" x14ac:dyDescent="0.4">
      <c r="B38" s="49"/>
      <c r="C38" s="49"/>
      <c r="D38" s="49"/>
      <c r="E38" s="49"/>
      <c r="F38" s="49"/>
      <c r="G38" s="49"/>
      <c r="J38" s="190" t="s">
        <v>99</v>
      </c>
      <c r="K38" s="191"/>
      <c r="L38" s="191"/>
      <c r="M38" s="191"/>
      <c r="N38" s="191"/>
      <c r="O38" s="191"/>
      <c r="P38" s="191"/>
      <c r="Q38" s="191"/>
      <c r="R38" s="191"/>
      <c r="S38" s="191"/>
      <c r="T38" s="192"/>
      <c r="V38" s="193" t="s">
        <v>99</v>
      </c>
      <c r="W38" s="194"/>
      <c r="X38" s="194"/>
      <c r="Y38" s="194"/>
      <c r="Z38" s="194"/>
      <c r="AA38" s="194"/>
      <c r="AB38" s="194"/>
      <c r="AC38" s="194"/>
      <c r="AD38" s="194"/>
      <c r="AE38" s="194"/>
      <c r="AF38" s="195"/>
      <c r="AG38" s="38"/>
      <c r="AH38" s="196" t="s">
        <v>100</v>
      </c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04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G38" s="147" t="s">
        <v>117</v>
      </c>
      <c r="BH38" s="148"/>
      <c r="BI38" s="7">
        <f>IF($S$14="","",BL38*BT35)</f>
        <v>0</v>
      </c>
      <c r="BJ38" s="8">
        <f>IF($S$14="","",BM38*BT35)</f>
        <v>0</v>
      </c>
      <c r="BK38" s="9">
        <f>IF($S$14="","",BN38*BT35)</f>
        <v>0</v>
      </c>
      <c r="BL38" s="7">
        <f>IF(BL37=0,0,BU8)</f>
        <v>0</v>
      </c>
      <c r="BM38" s="8">
        <f>IF(BM37=0,0,BW8)</f>
        <v>0</v>
      </c>
      <c r="BN38" s="9">
        <f>IF(BN37=0,0,BY8)</f>
        <v>0</v>
      </c>
      <c r="CA38" s="79">
        <v>3300000</v>
      </c>
      <c r="CB38" s="105">
        <v>0.75</v>
      </c>
      <c r="CC38" s="81">
        <v>275000</v>
      </c>
      <c r="CD38" s="82">
        <f>INT($V21*$CB38-$CC38)</f>
        <v>-275000</v>
      </c>
      <c r="CE38" s="82">
        <f>INT($V22*$CB38-$CC38)</f>
        <v>-275000</v>
      </c>
      <c r="CF38" s="82">
        <f>INT($V23*$CB38-$CC38)</f>
        <v>-275000</v>
      </c>
      <c r="CG38" s="82">
        <f>INT($V24*$CB38-$CC38)</f>
        <v>-275000</v>
      </c>
      <c r="CH38" s="82">
        <f>INT($V25*$CB38-$CC38)</f>
        <v>-275000</v>
      </c>
      <c r="CI38" s="82">
        <f>INT($V26*$CB38-$CC38)</f>
        <v>-275000</v>
      </c>
      <c r="CJ38" s="82">
        <f>INT($V27*$CB38-$CC38)</f>
        <v>-275000</v>
      </c>
      <c r="CK38" s="82">
        <f>INT($V28*$CB38-$CC38)</f>
        <v>-275000</v>
      </c>
      <c r="CY38" s="19"/>
    </row>
    <row r="39" spans="1:103" ht="26.1" customHeight="1" x14ac:dyDescent="0.35">
      <c r="B39" s="106"/>
      <c r="C39" s="106"/>
      <c r="D39" s="106"/>
      <c r="E39" s="106"/>
      <c r="F39" s="106"/>
      <c r="G39" s="49"/>
      <c r="J39" s="107"/>
      <c r="K39" s="49"/>
      <c r="L39" s="108"/>
      <c r="M39" s="49"/>
      <c r="N39" s="49"/>
      <c r="O39" s="49"/>
      <c r="P39" s="49"/>
      <c r="Q39" s="49"/>
      <c r="R39" s="49"/>
      <c r="S39" s="49"/>
      <c r="T39" s="109"/>
      <c r="V39" s="107"/>
      <c r="W39" s="49"/>
      <c r="X39" s="49"/>
      <c r="Y39" s="49"/>
      <c r="Z39" s="49"/>
      <c r="AA39" s="49"/>
      <c r="AB39" s="49"/>
      <c r="AC39" s="49"/>
      <c r="AD39" s="49"/>
      <c r="AE39" s="49"/>
      <c r="AF39" s="109"/>
      <c r="AG39" s="49"/>
      <c r="AH39" s="107"/>
      <c r="AI39" s="49"/>
      <c r="AJ39" s="2"/>
      <c r="AK39" s="2"/>
      <c r="AL39" s="2"/>
      <c r="AM39" s="2"/>
      <c r="AN39" s="2"/>
      <c r="AO39" s="2"/>
      <c r="AP39" s="2"/>
      <c r="AQ39" s="2"/>
      <c r="AR39" s="2"/>
      <c r="AS39" s="11"/>
      <c r="AT39" s="2"/>
      <c r="AU39" s="2"/>
      <c r="AV39" s="2"/>
      <c r="AW39" s="2"/>
      <c r="AX39" s="2"/>
      <c r="AY39" s="2"/>
      <c r="AZ39" s="2"/>
      <c r="BA39" s="2"/>
      <c r="BB39" s="2"/>
      <c r="BC39" s="92"/>
      <c r="BG39" s="147" t="s">
        <v>119</v>
      </c>
      <c r="BH39" s="148"/>
      <c r="BI39" s="7">
        <f t="shared" ref="BI39:BN39" si="22">IF($S$14="","",TRUNC(BI36+BI37+BI38,-2))</f>
        <v>0</v>
      </c>
      <c r="BJ39" s="8">
        <f t="shared" si="22"/>
        <v>0</v>
      </c>
      <c r="BK39" s="9">
        <f t="shared" si="22"/>
        <v>0</v>
      </c>
      <c r="BL39" s="7">
        <f t="shared" si="22"/>
        <v>0</v>
      </c>
      <c r="BM39" s="8">
        <f t="shared" si="22"/>
        <v>0</v>
      </c>
      <c r="BN39" s="9">
        <f t="shared" si="22"/>
        <v>0</v>
      </c>
      <c r="CA39" s="79">
        <v>4100000</v>
      </c>
      <c r="CB39" s="105">
        <v>0.85</v>
      </c>
      <c r="CC39" s="81">
        <v>685000</v>
      </c>
      <c r="CD39" s="82">
        <f>INT($V21*$CB39-$CC39)</f>
        <v>-685000</v>
      </c>
      <c r="CE39" s="82">
        <f>INT($V22*$CB39-$CC39)</f>
        <v>-685000</v>
      </c>
      <c r="CF39" s="82">
        <f>INT($V23*$CB39-$CC39)</f>
        <v>-685000</v>
      </c>
      <c r="CG39" s="82">
        <f>INT($V24*$CB39-$CC39)</f>
        <v>-685000</v>
      </c>
      <c r="CH39" s="82">
        <f>INT($V25*$CB39-$CC39)</f>
        <v>-685000</v>
      </c>
      <c r="CI39" s="82">
        <f>INT($V26*$CB39-$CC39)</f>
        <v>-685000</v>
      </c>
      <c r="CJ39" s="82">
        <f>INT($V27*$CB39-$CC39)</f>
        <v>-685000</v>
      </c>
      <c r="CK39" s="82">
        <f>INT($V28*$CB39-$CC39)</f>
        <v>-685000</v>
      </c>
      <c r="CY39" s="19"/>
    </row>
    <row r="40" spans="1:103" ht="26.1" customHeight="1" x14ac:dyDescent="0.4">
      <c r="B40" s="149" t="s">
        <v>84</v>
      </c>
      <c r="C40" s="149"/>
      <c r="D40" s="149"/>
      <c r="E40" s="149"/>
      <c r="F40" s="149"/>
      <c r="G40" s="149"/>
      <c r="H40" s="149"/>
      <c r="I40" s="150"/>
      <c r="J40" s="110"/>
      <c r="L40" s="151">
        <f>BI36</f>
        <v>0</v>
      </c>
      <c r="M40" s="152"/>
      <c r="N40" s="152"/>
      <c r="O40" s="152"/>
      <c r="P40" s="152"/>
      <c r="Q40" s="152"/>
      <c r="R40" s="153"/>
      <c r="S40" s="49"/>
      <c r="T40" s="109"/>
      <c r="V40" s="107"/>
      <c r="X40" s="151">
        <f>BJ36</f>
        <v>0</v>
      </c>
      <c r="Y40" s="152"/>
      <c r="Z40" s="152"/>
      <c r="AA40" s="152"/>
      <c r="AB40" s="152"/>
      <c r="AC40" s="152"/>
      <c r="AD40" s="153"/>
      <c r="AE40" s="111"/>
      <c r="AF40" s="112"/>
      <c r="AG40" s="111"/>
      <c r="AH40" s="11"/>
      <c r="AJ40" s="151">
        <f>BK36</f>
        <v>0</v>
      </c>
      <c r="AK40" s="152"/>
      <c r="AL40" s="152"/>
      <c r="AM40" s="152"/>
      <c r="AN40" s="152"/>
      <c r="AO40" s="152"/>
      <c r="AP40" s="152"/>
      <c r="AQ40" s="113"/>
      <c r="AR40" s="114"/>
      <c r="AS40" s="11"/>
      <c r="AT40" s="2"/>
      <c r="AU40" s="2"/>
      <c r="AV40" s="2"/>
      <c r="AW40" s="2"/>
      <c r="AX40" s="2"/>
      <c r="AY40" s="2"/>
      <c r="AZ40" s="2"/>
      <c r="BA40" s="2"/>
      <c r="BB40" s="2"/>
      <c r="BC40" s="2"/>
      <c r="BG40" s="147" t="s">
        <v>118</v>
      </c>
      <c r="BH40" s="148"/>
      <c r="BI40" s="7">
        <f>IF($S$14="","",IF(BI39&gt;$BU$7,BI39-$BU$7,0))</f>
        <v>0</v>
      </c>
      <c r="BJ40" s="8">
        <f>IF($S$14="","",IF(BJ39&gt;$BW$7,BJ39-$BW$7,0))</f>
        <v>0</v>
      </c>
      <c r="BK40" s="9">
        <f>IF($S$14="","",IF(BK39&gt;$BY$7,BK39-$BY$7,0))</f>
        <v>0</v>
      </c>
      <c r="BL40" s="7">
        <f>IF($S$14="","",IF(BL39&gt;$BU$7,BL39-$BU$7,0))</f>
        <v>0</v>
      </c>
      <c r="BM40" s="8">
        <f>IF($S$14="","",IF(BM39&gt;$BW$7,BM39-$BW$7,0))</f>
        <v>0</v>
      </c>
      <c r="BN40" s="9">
        <f>IF($S$14="","",IF(BN39&gt;$BY$7,BN39-$BY$7,0))</f>
        <v>0</v>
      </c>
      <c r="CA40" s="79">
        <v>7700000</v>
      </c>
      <c r="CB40" s="105">
        <v>0.95</v>
      </c>
      <c r="CC40" s="81">
        <v>1455000</v>
      </c>
      <c r="CD40" s="82">
        <f>INT($V21*$CB40-$CC40)</f>
        <v>-1455000</v>
      </c>
      <c r="CE40" s="82">
        <f>INT($V22*$CB40-$CC40)</f>
        <v>-1455000</v>
      </c>
      <c r="CF40" s="82">
        <f>INT($V23*$CB40-$CC40)</f>
        <v>-1455000</v>
      </c>
      <c r="CG40" s="82">
        <f>INT($V24*$CB40-$CC40)</f>
        <v>-1455000</v>
      </c>
      <c r="CH40" s="82">
        <f>INT($V25*$CB40-$CC40)</f>
        <v>-1455000</v>
      </c>
      <c r="CI40" s="82">
        <f>INT($V26*$CB40-$CC40)</f>
        <v>-1455000</v>
      </c>
      <c r="CJ40" s="82">
        <f>INT($V27*$CB40-$CC40)</f>
        <v>-1455000</v>
      </c>
      <c r="CK40" s="82">
        <f>INT($V28*$CB40-$CC40)</f>
        <v>-1455000</v>
      </c>
      <c r="CY40" s="19"/>
    </row>
    <row r="41" spans="1:103" ht="26.1" customHeight="1" x14ac:dyDescent="0.4">
      <c r="B41" s="149" t="s">
        <v>85</v>
      </c>
      <c r="C41" s="149"/>
      <c r="D41" s="149"/>
      <c r="E41" s="149"/>
      <c r="F41" s="149"/>
      <c r="G41" s="149"/>
      <c r="H41" s="149"/>
      <c r="I41" s="150"/>
      <c r="J41" s="110"/>
      <c r="L41" s="151">
        <f>BI37</f>
        <v>0</v>
      </c>
      <c r="M41" s="152"/>
      <c r="N41" s="152"/>
      <c r="O41" s="152"/>
      <c r="P41" s="152"/>
      <c r="Q41" s="152"/>
      <c r="R41" s="153"/>
      <c r="S41" s="49"/>
      <c r="T41" s="109"/>
      <c r="V41" s="107"/>
      <c r="X41" s="151">
        <f>BJ37</f>
        <v>0</v>
      </c>
      <c r="Y41" s="152"/>
      <c r="Z41" s="152"/>
      <c r="AA41" s="152"/>
      <c r="AB41" s="152"/>
      <c r="AC41" s="152"/>
      <c r="AD41" s="153"/>
      <c r="AE41" s="111"/>
      <c r="AF41" s="112"/>
      <c r="AG41" s="111"/>
      <c r="AH41" s="11"/>
      <c r="AJ41" s="151">
        <f>BK37</f>
        <v>0</v>
      </c>
      <c r="AK41" s="152"/>
      <c r="AL41" s="152"/>
      <c r="AM41" s="152"/>
      <c r="AN41" s="152"/>
      <c r="AO41" s="152"/>
      <c r="AP41" s="152"/>
      <c r="AQ41" s="113"/>
      <c r="AR41" s="114"/>
      <c r="AS41" s="11"/>
      <c r="AT41" s="2"/>
      <c r="AU41" s="2"/>
      <c r="AV41" s="2"/>
      <c r="AW41" s="2"/>
      <c r="AX41" s="2"/>
      <c r="AY41" s="2"/>
      <c r="AZ41" s="2"/>
      <c r="BA41" s="2"/>
      <c r="BB41" s="2"/>
      <c r="BC41" s="2"/>
      <c r="BG41" s="147" t="s">
        <v>120</v>
      </c>
      <c r="BH41" s="148"/>
      <c r="BI41" s="7">
        <f t="shared" ref="BI41:BN41" si="23">IF($S$14="","",BI39-BI40)</f>
        <v>0</v>
      </c>
      <c r="BJ41" s="8">
        <f t="shared" si="23"/>
        <v>0</v>
      </c>
      <c r="BK41" s="9">
        <f t="shared" si="23"/>
        <v>0</v>
      </c>
      <c r="BL41" s="7">
        <f t="shared" si="23"/>
        <v>0</v>
      </c>
      <c r="BM41" s="8">
        <f t="shared" si="23"/>
        <v>0</v>
      </c>
      <c r="BN41" s="9">
        <f t="shared" si="23"/>
        <v>0</v>
      </c>
      <c r="BW41" s="34"/>
      <c r="CA41" s="115">
        <v>10000000</v>
      </c>
      <c r="CB41" s="116"/>
      <c r="CC41" s="117">
        <v>1955000</v>
      </c>
      <c r="CD41" s="91">
        <f>$V21-$CC41</f>
        <v>-1955000</v>
      </c>
      <c r="CE41" s="91">
        <f>$V22-$CC41</f>
        <v>-1955000</v>
      </c>
      <c r="CF41" s="91">
        <f>$V23-$CC41</f>
        <v>-1955000</v>
      </c>
      <c r="CG41" s="91">
        <f>$V24-$CC41</f>
        <v>-1955000</v>
      </c>
      <c r="CH41" s="91">
        <f>$V25-$CC41</f>
        <v>-1955000</v>
      </c>
      <c r="CI41" s="91">
        <f>$V26-$CC41</f>
        <v>-1955000</v>
      </c>
      <c r="CJ41" s="91">
        <f>$V27-$CC41</f>
        <v>-1955000</v>
      </c>
      <c r="CK41" s="91">
        <f>$V28-$CC41</f>
        <v>-1955000</v>
      </c>
      <c r="CY41" s="19"/>
    </row>
    <row r="42" spans="1:103" ht="26.1" customHeight="1" x14ac:dyDescent="0.4">
      <c r="B42" s="149" t="s">
        <v>123</v>
      </c>
      <c r="C42" s="149"/>
      <c r="D42" s="149"/>
      <c r="E42" s="149"/>
      <c r="F42" s="149"/>
      <c r="G42" s="149"/>
      <c r="H42" s="149"/>
      <c r="I42" s="150"/>
      <c r="J42" s="110"/>
      <c r="L42" s="151">
        <f>BI38</f>
        <v>0</v>
      </c>
      <c r="M42" s="152"/>
      <c r="N42" s="152"/>
      <c r="O42" s="152"/>
      <c r="P42" s="152"/>
      <c r="Q42" s="152"/>
      <c r="R42" s="153"/>
      <c r="S42" s="49"/>
      <c r="T42" s="109"/>
      <c r="V42" s="107"/>
      <c r="X42" s="151">
        <f>BJ38</f>
        <v>0</v>
      </c>
      <c r="Y42" s="152"/>
      <c r="Z42" s="152"/>
      <c r="AA42" s="152"/>
      <c r="AB42" s="152"/>
      <c r="AC42" s="152"/>
      <c r="AD42" s="153"/>
      <c r="AE42" s="111"/>
      <c r="AF42" s="112"/>
      <c r="AG42" s="111"/>
      <c r="AH42" s="11"/>
      <c r="AJ42" s="151">
        <f>BK38</f>
        <v>0</v>
      </c>
      <c r="AK42" s="152"/>
      <c r="AL42" s="152"/>
      <c r="AM42" s="152"/>
      <c r="AN42" s="152"/>
      <c r="AO42" s="152"/>
      <c r="AP42" s="153"/>
      <c r="AQ42" s="113"/>
      <c r="AR42" s="114"/>
      <c r="AS42" s="11"/>
      <c r="AT42" s="2"/>
      <c r="AU42" s="2"/>
      <c r="AV42" s="2"/>
      <c r="AW42" s="2"/>
      <c r="AX42" s="2"/>
      <c r="AY42" s="2"/>
      <c r="AZ42" s="2"/>
      <c r="BA42" s="2"/>
      <c r="BB42" s="2"/>
      <c r="BC42" s="2"/>
      <c r="BG42" s="147" t="s">
        <v>121</v>
      </c>
      <c r="BH42" s="148"/>
      <c r="BI42" s="7">
        <f t="shared" ref="BI42:BN42" si="24">IF($S$14&lt;&gt;"",TRUNC(BI41/12*LEFT($S$14,LEN($S$14)-2),-2),"")</f>
        <v>0</v>
      </c>
      <c r="BJ42" s="8">
        <f t="shared" si="24"/>
        <v>0</v>
      </c>
      <c r="BK42" s="9">
        <f t="shared" si="24"/>
        <v>0</v>
      </c>
      <c r="BL42" s="7">
        <f t="shared" si="24"/>
        <v>0</v>
      </c>
      <c r="BM42" s="8">
        <f t="shared" si="24"/>
        <v>0</v>
      </c>
      <c r="BN42" s="9">
        <f t="shared" si="24"/>
        <v>0</v>
      </c>
      <c r="BW42" s="34"/>
      <c r="CY42" s="19"/>
    </row>
    <row r="43" spans="1:103" ht="26.1" customHeight="1" x14ac:dyDescent="0.4">
      <c r="B43" s="149" t="s">
        <v>86</v>
      </c>
      <c r="C43" s="149"/>
      <c r="D43" s="149"/>
      <c r="E43" s="149"/>
      <c r="F43" s="149"/>
      <c r="G43" s="149"/>
      <c r="H43" s="149"/>
      <c r="I43" s="150"/>
      <c r="J43" s="110"/>
      <c r="L43" s="151">
        <f>BI39</f>
        <v>0</v>
      </c>
      <c r="M43" s="152"/>
      <c r="N43" s="152"/>
      <c r="O43" s="152"/>
      <c r="P43" s="152"/>
      <c r="Q43" s="152"/>
      <c r="R43" s="153"/>
      <c r="S43" s="49"/>
      <c r="T43" s="109"/>
      <c r="V43" s="107"/>
      <c r="X43" s="151">
        <f>BJ39</f>
        <v>0</v>
      </c>
      <c r="Y43" s="152"/>
      <c r="Z43" s="152"/>
      <c r="AA43" s="152"/>
      <c r="AB43" s="152"/>
      <c r="AC43" s="152"/>
      <c r="AD43" s="153"/>
      <c r="AE43" s="2"/>
      <c r="AF43" s="118"/>
      <c r="AG43" s="2"/>
      <c r="AH43" s="11"/>
      <c r="AJ43" s="151">
        <f>BK39</f>
        <v>0</v>
      </c>
      <c r="AK43" s="152"/>
      <c r="AL43" s="152"/>
      <c r="AM43" s="152"/>
      <c r="AN43" s="152"/>
      <c r="AO43" s="152"/>
      <c r="AP43" s="152"/>
      <c r="AQ43" s="11"/>
      <c r="AR43" s="2"/>
      <c r="AS43" s="11"/>
      <c r="AT43" s="2"/>
      <c r="AU43" s="2"/>
      <c r="AV43" s="2"/>
      <c r="AW43" s="2"/>
      <c r="AX43" s="2"/>
      <c r="AY43" s="2"/>
      <c r="AZ43" s="2"/>
      <c r="BA43" s="2"/>
      <c r="BB43" s="2"/>
      <c r="BC43" s="2"/>
      <c r="BW43" s="34"/>
      <c r="CA43" s="22" t="s">
        <v>87</v>
      </c>
      <c r="CY43" s="19"/>
    </row>
    <row r="44" spans="1:103" ht="26.1" customHeight="1" x14ac:dyDescent="0.4">
      <c r="G44" s="106"/>
      <c r="J44" s="110"/>
      <c r="L44" s="49"/>
      <c r="M44" s="49"/>
      <c r="N44" s="49"/>
      <c r="O44" s="49"/>
      <c r="P44" s="49"/>
      <c r="Q44" s="49"/>
      <c r="R44" s="49"/>
      <c r="S44" s="49"/>
      <c r="T44" s="109"/>
      <c r="V44" s="107"/>
      <c r="X44" s="49"/>
      <c r="Y44" s="49"/>
      <c r="Z44" s="49"/>
      <c r="AA44" s="49"/>
      <c r="AB44" s="49"/>
      <c r="AC44" s="119"/>
      <c r="AD44" s="13"/>
      <c r="AE44" s="13"/>
      <c r="AF44" s="120"/>
      <c r="AG44" s="13"/>
      <c r="AH44" s="11"/>
      <c r="AJ44" s="49"/>
      <c r="AK44" s="2"/>
      <c r="AL44" s="2"/>
      <c r="AM44" s="2"/>
      <c r="AN44" s="2"/>
      <c r="AO44" s="2"/>
      <c r="AP44" s="2"/>
      <c r="AQ44" s="2"/>
      <c r="AR44" s="2"/>
      <c r="AS44" s="11"/>
      <c r="AT44" s="2"/>
      <c r="AU44" s="2"/>
      <c r="AV44" s="2"/>
      <c r="AW44" s="2"/>
      <c r="AX44" s="2"/>
      <c r="AY44" s="2"/>
      <c r="AZ44" s="2"/>
      <c r="BA44" s="2"/>
      <c r="BB44" s="2"/>
      <c r="BC44" s="2"/>
      <c r="BG44" s="121"/>
      <c r="BW44" s="34"/>
      <c r="CA44" s="122" t="s">
        <v>89</v>
      </c>
      <c r="CB44" s="202" t="s">
        <v>90</v>
      </c>
      <c r="CC44" s="203"/>
      <c r="CY44" s="19"/>
    </row>
    <row r="45" spans="1:103" ht="26.1" customHeight="1" x14ac:dyDescent="0.4">
      <c r="B45" s="188" t="s">
        <v>88</v>
      </c>
      <c r="C45" s="188"/>
      <c r="D45" s="188"/>
      <c r="E45" s="188"/>
      <c r="F45" s="188"/>
      <c r="G45" s="188"/>
      <c r="H45" s="188"/>
      <c r="I45" s="189"/>
      <c r="J45" s="110"/>
      <c r="L45" s="151">
        <f>BI42</f>
        <v>0</v>
      </c>
      <c r="M45" s="152"/>
      <c r="N45" s="152"/>
      <c r="O45" s="152"/>
      <c r="P45" s="152"/>
      <c r="Q45" s="152"/>
      <c r="R45" s="153"/>
      <c r="S45" s="49"/>
      <c r="T45" s="109"/>
      <c r="V45" s="107"/>
      <c r="X45" s="151">
        <f>BJ42</f>
        <v>0</v>
      </c>
      <c r="Y45" s="152"/>
      <c r="Z45" s="152"/>
      <c r="AA45" s="152"/>
      <c r="AB45" s="152"/>
      <c r="AC45" s="152"/>
      <c r="AD45" s="153"/>
      <c r="AE45" s="49"/>
      <c r="AF45" s="109"/>
      <c r="AG45" s="49"/>
      <c r="AH45" s="107"/>
      <c r="AJ45" s="151">
        <f>BK42</f>
        <v>0</v>
      </c>
      <c r="AK45" s="152"/>
      <c r="AL45" s="152"/>
      <c r="AM45" s="152"/>
      <c r="AN45" s="152"/>
      <c r="AO45" s="152"/>
      <c r="AP45" s="152"/>
      <c r="AQ45" s="113"/>
      <c r="AR45" s="114"/>
      <c r="AS45" s="107"/>
      <c r="AT45" s="2"/>
      <c r="AU45" s="2"/>
      <c r="AV45" s="2"/>
      <c r="AW45" s="2"/>
      <c r="AX45" s="2"/>
      <c r="AY45" s="2"/>
      <c r="AZ45" s="2"/>
      <c r="BA45" s="2"/>
      <c r="BB45" s="2"/>
      <c r="BC45" s="2"/>
      <c r="BG45" s="121"/>
      <c r="CA45" s="123">
        <v>0</v>
      </c>
      <c r="CB45" s="124"/>
      <c r="CC45" s="125">
        <v>430000</v>
      </c>
      <c r="CY45" s="19"/>
    </row>
    <row r="46" spans="1:103" ht="26.1" customHeight="1" x14ac:dyDescent="0.4">
      <c r="B46" s="204" t="s">
        <v>91</v>
      </c>
      <c r="C46" s="204"/>
      <c r="D46" s="204"/>
      <c r="E46" s="204"/>
      <c r="F46" s="204"/>
      <c r="G46" s="204"/>
      <c r="H46" s="204"/>
      <c r="I46" s="205"/>
      <c r="J46" s="126"/>
      <c r="K46" s="127"/>
      <c r="L46" s="127"/>
      <c r="M46" s="127"/>
      <c r="N46" s="127"/>
      <c r="O46" s="127"/>
      <c r="P46" s="127"/>
      <c r="Q46" s="127"/>
      <c r="R46" s="127"/>
      <c r="S46" s="127"/>
      <c r="T46" s="128"/>
      <c r="V46" s="126"/>
      <c r="W46" s="127"/>
      <c r="X46" s="127"/>
      <c r="Y46" s="127"/>
      <c r="Z46" s="127"/>
      <c r="AA46" s="127"/>
      <c r="AB46" s="127"/>
      <c r="AC46" s="127"/>
      <c r="AD46" s="127"/>
      <c r="AE46" s="127"/>
      <c r="AF46" s="128"/>
      <c r="AG46" s="49"/>
      <c r="AH46" s="126"/>
      <c r="AI46" s="127"/>
      <c r="AJ46" s="12"/>
      <c r="AK46" s="12"/>
      <c r="AL46" s="12"/>
      <c r="AM46" s="12"/>
      <c r="AN46" s="127"/>
      <c r="AO46" s="127"/>
      <c r="AP46" s="127"/>
      <c r="AQ46" s="127"/>
      <c r="AR46" s="127"/>
      <c r="AS46" s="107"/>
      <c r="AT46" s="2"/>
      <c r="AU46" s="2"/>
      <c r="AV46" s="2"/>
      <c r="AW46" s="2"/>
      <c r="AX46" s="2"/>
      <c r="AY46" s="2"/>
      <c r="AZ46" s="2"/>
      <c r="BA46" s="2"/>
      <c r="BB46" s="2"/>
      <c r="BC46" s="2"/>
      <c r="BG46" s="121"/>
      <c r="BX46" s="34"/>
      <c r="CA46" s="56">
        <v>24000001</v>
      </c>
      <c r="CB46" s="129"/>
      <c r="CC46" s="130">
        <v>290000</v>
      </c>
      <c r="CY46" s="19"/>
    </row>
    <row r="47" spans="1:103" ht="26.1" customHeight="1" x14ac:dyDescent="0.4">
      <c r="A47" s="131" t="s">
        <v>137</v>
      </c>
      <c r="B47" s="38"/>
      <c r="C47" s="38"/>
      <c r="D47" s="38"/>
      <c r="E47" s="38"/>
      <c r="F47" s="38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2"/>
      <c r="AU47" s="2"/>
      <c r="AV47" s="2"/>
      <c r="AW47" s="2"/>
      <c r="AX47" s="2"/>
      <c r="AY47" s="2"/>
      <c r="AZ47" s="2"/>
      <c r="BA47" s="2"/>
      <c r="BB47" s="2"/>
      <c r="BC47" s="2"/>
      <c r="BX47" s="34"/>
      <c r="CA47" s="132">
        <v>24500001</v>
      </c>
      <c r="CB47" s="133"/>
      <c r="CC47" s="134">
        <v>150000</v>
      </c>
      <c r="CY47" s="19"/>
    </row>
    <row r="48" spans="1:103" ht="26.1" customHeight="1" thickBot="1" x14ac:dyDescent="0.45"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S48" s="25"/>
      <c r="T48" s="25"/>
      <c r="V48" s="25"/>
      <c r="AF48" s="2"/>
      <c r="AI48" s="2"/>
      <c r="AJ48" s="2"/>
      <c r="BC48" s="2"/>
      <c r="BX48" s="34"/>
      <c r="CA48" s="135">
        <v>25000001</v>
      </c>
      <c r="CB48" s="136"/>
      <c r="CC48" s="137">
        <v>0</v>
      </c>
      <c r="CY48" s="19"/>
    </row>
    <row r="49" spans="1:103" ht="26.1" customHeight="1" thickBot="1" x14ac:dyDescent="0.45">
      <c r="B49" s="25"/>
      <c r="C49" s="174">
        <f>IF($S$14="","",$L$45+$X$45+$AJ$45)</f>
        <v>0</v>
      </c>
      <c r="D49" s="175"/>
      <c r="E49" s="175"/>
      <c r="F49" s="175"/>
      <c r="G49" s="175"/>
      <c r="H49" s="175"/>
      <c r="I49" s="176"/>
      <c r="J49" s="25"/>
      <c r="K49" s="25"/>
      <c r="L49" s="25"/>
      <c r="M49" s="25"/>
      <c r="N49" s="138"/>
      <c r="O49" s="138"/>
      <c r="P49" s="138"/>
      <c r="Q49" s="144"/>
      <c r="R49" s="144"/>
      <c r="S49" s="144"/>
      <c r="T49" s="144"/>
      <c r="U49" s="144"/>
      <c r="V49" s="144"/>
      <c r="W49" s="145"/>
      <c r="X49" s="145"/>
      <c r="Y49" s="145"/>
      <c r="Z49" s="145"/>
      <c r="AA49" s="145"/>
      <c r="AB49" s="145"/>
      <c r="AC49" s="145"/>
      <c r="AF49" s="2"/>
      <c r="AI49" s="2"/>
      <c r="AJ49" s="2"/>
      <c r="CA49" s="21"/>
      <c r="CB49" s="23"/>
      <c r="CC49" s="21"/>
      <c r="CY49" s="19"/>
    </row>
    <row r="50" spans="1:103" ht="26.1" customHeight="1" x14ac:dyDescent="0.4">
      <c r="A50" s="131" t="s">
        <v>92</v>
      </c>
      <c r="B50" s="38"/>
      <c r="C50" s="38"/>
      <c r="D50" s="38"/>
      <c r="E50" s="38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AE50" s="2"/>
      <c r="AF50" s="2"/>
      <c r="AI50" s="2"/>
      <c r="AJ50" s="2"/>
      <c r="CY50" s="19"/>
    </row>
    <row r="51" spans="1:103" ht="26.1" customHeight="1" x14ac:dyDescent="0.4">
      <c r="C51" s="131"/>
      <c r="D51" s="131"/>
      <c r="E51" s="131"/>
      <c r="F51" s="131"/>
      <c r="G51" s="131"/>
      <c r="S51" s="25"/>
      <c r="T51" s="25"/>
      <c r="U51" s="25"/>
      <c r="V51" s="25"/>
      <c r="W51" s="25"/>
      <c r="X51" s="138"/>
      <c r="AE51" s="111"/>
      <c r="AF51" s="111"/>
      <c r="AI51" s="2"/>
      <c r="AJ51" s="2"/>
      <c r="CA51" s="139"/>
      <c r="CY51" s="19"/>
    </row>
    <row r="52" spans="1:103" ht="26.1" customHeight="1" x14ac:dyDescent="0.4">
      <c r="B52" s="131"/>
      <c r="C52" s="20" t="s">
        <v>129</v>
      </c>
      <c r="D52" s="131"/>
      <c r="E52" s="131"/>
      <c r="F52" s="131"/>
      <c r="G52" s="131"/>
      <c r="S52" s="25"/>
      <c r="T52" s="25"/>
      <c r="U52" s="25"/>
      <c r="V52" s="25"/>
      <c r="W52" s="25"/>
      <c r="X52" s="138"/>
      <c r="AE52" s="111"/>
      <c r="AF52" s="111"/>
      <c r="AI52" s="2"/>
      <c r="AJ52" s="2"/>
      <c r="CA52" s="140"/>
      <c r="CY52" s="19"/>
    </row>
    <row r="53" spans="1:103" ht="26.1" customHeight="1" thickBot="1" x14ac:dyDescent="0.45">
      <c r="B53" s="131"/>
      <c r="C53" s="20" t="s">
        <v>93</v>
      </c>
      <c r="D53" s="131"/>
      <c r="E53" s="131"/>
      <c r="F53" s="131"/>
      <c r="G53" s="131"/>
      <c r="S53" s="25"/>
      <c r="T53" s="25"/>
      <c r="U53" s="25"/>
      <c r="V53" s="25"/>
      <c r="W53" s="25"/>
      <c r="X53" s="138"/>
      <c r="AE53" s="111"/>
      <c r="AF53" s="111"/>
      <c r="AI53" s="2"/>
      <c r="AJ53" s="2"/>
      <c r="CA53" s="139"/>
      <c r="CY53" s="19"/>
    </row>
    <row r="54" spans="1:103" ht="26.1" customHeight="1" thickBot="1" x14ac:dyDescent="0.45">
      <c r="B54" s="131"/>
      <c r="C54" s="177" t="str">
        <f>BT34</f>
        <v/>
      </c>
      <c r="D54" s="178"/>
      <c r="E54" s="178"/>
      <c r="F54" s="178"/>
      <c r="G54" s="178"/>
      <c r="H54" s="178"/>
      <c r="I54" s="179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38"/>
      <c r="AE54" s="111"/>
      <c r="AF54" s="111"/>
      <c r="AI54" s="2"/>
      <c r="AJ54" s="2"/>
      <c r="CY54" s="19"/>
    </row>
    <row r="55" spans="1:103" ht="26.1" customHeight="1" thickBot="1" x14ac:dyDescent="0.45">
      <c r="B55" s="131"/>
      <c r="C55" s="2" t="s">
        <v>94</v>
      </c>
      <c r="D55" s="13"/>
      <c r="E55" s="13"/>
      <c r="F55" s="13"/>
      <c r="G55" s="13"/>
      <c r="H55" s="13"/>
      <c r="I55" s="13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38"/>
      <c r="AE55" s="111"/>
      <c r="AF55" s="111"/>
      <c r="AI55" s="2"/>
      <c r="AJ55" s="2"/>
      <c r="BS55" s="21"/>
      <c r="BT55" s="21"/>
      <c r="CY55" s="19"/>
    </row>
    <row r="56" spans="1:103" ht="26.1" customHeight="1" thickBot="1" x14ac:dyDescent="0.45">
      <c r="B56" s="131"/>
      <c r="C56" s="174">
        <f>IF($S$14="","",SUM(BL42:BN42))</f>
        <v>0</v>
      </c>
      <c r="D56" s="175"/>
      <c r="E56" s="175"/>
      <c r="F56" s="175"/>
      <c r="G56" s="175"/>
      <c r="H56" s="175"/>
      <c r="I56" s="176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138"/>
      <c r="AE56" s="111"/>
      <c r="AF56" s="111"/>
      <c r="AI56" s="2"/>
      <c r="AJ56" s="2"/>
      <c r="BS56" s="21"/>
      <c r="BT56" s="21"/>
      <c r="CY56" s="19"/>
    </row>
    <row r="57" spans="1:103" ht="26.1" customHeight="1" x14ac:dyDescent="0.4">
      <c r="G57" s="38"/>
      <c r="Z57" s="2"/>
      <c r="AA57" s="2"/>
      <c r="AB57" s="2"/>
      <c r="AC57" s="2"/>
      <c r="AD57" s="2"/>
      <c r="AE57" s="2"/>
      <c r="AF57" s="2"/>
      <c r="AG57" s="2"/>
      <c r="AJ57" s="2"/>
      <c r="AK57" s="2"/>
      <c r="AL57" s="2"/>
      <c r="AM57" s="2"/>
      <c r="BS57" s="21"/>
      <c r="BT57" s="21"/>
      <c r="CY57" s="19"/>
    </row>
    <row r="58" spans="1:103" ht="18.95" customHeight="1" x14ac:dyDescent="0.4">
      <c r="BC58" s="2"/>
      <c r="BS58" s="21"/>
      <c r="BT58" s="21"/>
      <c r="CY58" s="19"/>
    </row>
    <row r="59" spans="1:103" ht="18.95" customHeight="1" x14ac:dyDescent="0.4">
      <c r="BB59" s="2"/>
      <c r="BC59" s="2"/>
      <c r="BS59" s="21"/>
      <c r="BT59" s="21"/>
      <c r="CY59" s="19"/>
    </row>
    <row r="60" spans="1:103" ht="18.95" customHeight="1" x14ac:dyDescent="0.4">
      <c r="BB60" s="2"/>
      <c r="BC60" s="2"/>
      <c r="BS60" s="21"/>
      <c r="BT60" s="21"/>
      <c r="CY60" s="19"/>
    </row>
    <row r="61" spans="1:103" s="70" customFormat="1" ht="18.95" customHeight="1" x14ac:dyDescent="0.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"/>
      <c r="BC61" s="2"/>
      <c r="BD61" s="2"/>
      <c r="BE61" s="10"/>
      <c r="BF61" s="2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2"/>
      <c r="BV61" s="22"/>
      <c r="BW61" s="21"/>
      <c r="BX61" s="21"/>
      <c r="BY61" s="21"/>
      <c r="BZ61" s="21"/>
      <c r="CA61" s="22"/>
      <c r="CB61" s="30"/>
      <c r="CC61" s="22"/>
      <c r="CD61" s="24"/>
      <c r="CL61" s="19"/>
      <c r="CY61" s="19"/>
    </row>
    <row r="62" spans="1:103" s="24" customFormat="1" ht="18.95" customHeight="1" x14ac:dyDescent="0.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"/>
      <c r="BC62" s="2"/>
      <c r="BD62" s="14"/>
      <c r="BE62" s="15"/>
      <c r="BF62" s="14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2"/>
      <c r="BV62" s="22"/>
      <c r="BW62" s="21"/>
      <c r="BX62" s="21"/>
      <c r="BY62" s="21"/>
      <c r="BZ62" s="21"/>
      <c r="CA62" s="22"/>
      <c r="CB62" s="30"/>
      <c r="CC62" s="22"/>
      <c r="CL62" s="18"/>
      <c r="CY62" s="19"/>
    </row>
    <row r="63" spans="1:103" s="24" customFormat="1" ht="18.95" customHeight="1" x14ac:dyDescent="0.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"/>
      <c r="BC63" s="20"/>
      <c r="BD63" s="14"/>
      <c r="BE63" s="15"/>
      <c r="BF63" s="14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2"/>
      <c r="CB63" s="30"/>
      <c r="CC63" s="22"/>
      <c r="CL63" s="18"/>
      <c r="CY63" s="19"/>
    </row>
    <row r="64" spans="1:103" s="42" customFormat="1" ht="18.95" customHeight="1" x14ac:dyDescent="0.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14"/>
      <c r="BE64" s="15"/>
      <c r="BF64" s="14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30"/>
      <c r="CC64" s="22"/>
      <c r="CD64" s="24"/>
      <c r="CL64" s="18"/>
      <c r="CY64" s="19"/>
    </row>
    <row r="65" spans="1:107" s="42" customFormat="1" ht="18.95" customHeight="1" x14ac:dyDescent="0.4">
      <c r="A65" s="2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D65" s="14"/>
      <c r="BE65" s="15"/>
      <c r="BF65" s="14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141"/>
      <c r="CC65" s="20"/>
      <c r="CD65" s="24"/>
      <c r="CE65" s="142"/>
      <c r="CF65" s="142"/>
      <c r="CG65" s="142"/>
      <c r="CH65" s="142"/>
      <c r="CI65" s="142"/>
      <c r="CJ65" s="142"/>
      <c r="CK65" s="142"/>
      <c r="CL65" s="19"/>
      <c r="CM65" s="20"/>
      <c r="CN65" s="2"/>
      <c r="CO65" s="2"/>
      <c r="CP65" s="2"/>
      <c r="CQ65" s="2"/>
      <c r="CR65" s="20"/>
      <c r="CS65" s="20"/>
      <c r="CT65" s="20"/>
      <c r="CU65" s="20"/>
      <c r="CV65" s="20"/>
      <c r="CW65" s="20"/>
      <c r="CX65" s="20"/>
      <c r="CY65" s="19"/>
      <c r="CZ65" s="20"/>
      <c r="DA65" s="20"/>
      <c r="DB65" s="20"/>
      <c r="DC65" s="20"/>
    </row>
    <row r="66" spans="1:107" s="42" customFormat="1" ht="18.95" customHeight="1" x14ac:dyDescent="0.4">
      <c r="A66" s="24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20"/>
      <c r="BA66" s="20"/>
      <c r="BB66" s="24"/>
      <c r="BC66" s="24"/>
      <c r="BD66" s="14"/>
      <c r="BE66" s="15"/>
      <c r="BF66" s="14"/>
      <c r="CB66" s="143"/>
      <c r="CD66" s="24"/>
      <c r="CL66" s="18"/>
      <c r="CY66" s="19"/>
    </row>
    <row r="67" spans="1:107" s="42" customFormat="1" ht="18.9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0"/>
      <c r="BA67" s="20"/>
      <c r="BB67" s="24"/>
      <c r="BC67" s="24"/>
      <c r="BD67" s="14"/>
      <c r="BE67" s="15"/>
      <c r="BF67" s="14"/>
      <c r="CB67" s="143"/>
      <c r="CD67" s="24"/>
      <c r="CL67" s="18"/>
      <c r="CY67" s="19"/>
    </row>
    <row r="68" spans="1:107" s="42" customFormat="1" ht="18.95" customHeight="1" x14ac:dyDescent="0.4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14"/>
      <c r="BE68" s="15"/>
      <c r="BF68" s="14"/>
      <c r="CB68" s="143"/>
      <c r="CD68" s="24"/>
      <c r="CL68" s="18"/>
      <c r="CY68" s="19"/>
    </row>
    <row r="69" spans="1:107" s="42" customFormat="1" ht="18.95" customHeight="1" x14ac:dyDescent="0.4">
      <c r="BD69" s="14"/>
      <c r="BE69" s="15"/>
      <c r="BF69" s="14"/>
      <c r="CB69" s="143"/>
      <c r="CD69" s="24"/>
      <c r="CL69" s="18"/>
      <c r="CY69" s="19"/>
    </row>
    <row r="70" spans="1:107" s="42" customFormat="1" ht="18.95" customHeight="1" x14ac:dyDescent="0.4">
      <c r="BD70" s="14"/>
      <c r="BE70" s="15"/>
      <c r="BF70" s="14"/>
      <c r="CB70" s="143"/>
      <c r="CD70" s="24"/>
      <c r="CL70" s="18"/>
      <c r="CY70" s="19"/>
    </row>
    <row r="71" spans="1:107" s="42" customFormat="1" ht="18.95" customHeight="1" x14ac:dyDescent="0.4">
      <c r="BC71" s="14"/>
      <c r="BD71" s="14"/>
      <c r="BE71" s="15"/>
      <c r="BF71" s="14"/>
      <c r="CB71" s="143"/>
      <c r="CD71" s="24"/>
      <c r="CL71" s="18"/>
      <c r="CY71" s="19"/>
    </row>
    <row r="72" spans="1:107" s="42" customFormat="1" ht="18.95" customHeight="1" x14ac:dyDescent="0.4">
      <c r="BB72" s="14"/>
      <c r="BC72" s="14"/>
      <c r="BD72" s="14"/>
      <c r="BE72" s="15"/>
      <c r="BF72" s="14"/>
      <c r="CB72" s="143"/>
      <c r="CD72" s="24"/>
      <c r="CL72" s="18"/>
      <c r="CY72" s="19"/>
    </row>
    <row r="73" spans="1:107" ht="18.95" customHeight="1" x14ac:dyDescent="0.4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42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141"/>
      <c r="CC73" s="20"/>
      <c r="CY73" s="19"/>
    </row>
    <row r="74" spans="1:107" ht="18.95" customHeight="1" x14ac:dyDescent="0.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42"/>
      <c r="BC74" s="42"/>
      <c r="CY74" s="19"/>
    </row>
    <row r="75" spans="1:107" ht="18.95" customHeight="1" x14ac:dyDescent="0.4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CY75" s="19"/>
    </row>
    <row r="76" spans="1:107" ht="18.95" customHeight="1" x14ac:dyDescent="0.4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CY76" s="19"/>
    </row>
    <row r="77" spans="1:107" ht="18.95" customHeight="1" x14ac:dyDescent="0.4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CY77" s="19"/>
    </row>
    <row r="78" spans="1:107" x14ac:dyDescent="0.4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CY78" s="19"/>
    </row>
    <row r="79" spans="1:107" x14ac:dyDescent="0.4">
      <c r="CY79" s="19"/>
    </row>
    <row r="80" spans="1:107" x14ac:dyDescent="0.4">
      <c r="CY80" s="19"/>
    </row>
    <row r="81" spans="103:103" x14ac:dyDescent="0.4">
      <c r="CY81" s="19"/>
    </row>
    <row r="82" spans="103:103" x14ac:dyDescent="0.4">
      <c r="CY82" s="19"/>
    </row>
    <row r="83" spans="103:103" x14ac:dyDescent="0.4">
      <c r="CY83" s="19"/>
    </row>
    <row r="84" spans="103:103" x14ac:dyDescent="0.4">
      <c r="CY84" s="19"/>
    </row>
    <row r="85" spans="103:103" x14ac:dyDescent="0.4">
      <c r="CY85" s="19"/>
    </row>
    <row r="86" spans="103:103" x14ac:dyDescent="0.4">
      <c r="CY86" s="19"/>
    </row>
    <row r="87" spans="103:103" x14ac:dyDescent="0.4">
      <c r="CY87" s="19"/>
    </row>
    <row r="88" spans="103:103" x14ac:dyDescent="0.4">
      <c r="CY88" s="19"/>
    </row>
    <row r="89" spans="103:103" x14ac:dyDescent="0.4">
      <c r="CY89" s="19"/>
    </row>
    <row r="90" spans="103:103" x14ac:dyDescent="0.4">
      <c r="CY90" s="19"/>
    </row>
    <row r="91" spans="103:103" x14ac:dyDescent="0.4">
      <c r="CY91" s="19"/>
    </row>
    <row r="92" spans="103:103" x14ac:dyDescent="0.4">
      <c r="CY92" s="19"/>
    </row>
    <row r="93" spans="103:103" x14ac:dyDescent="0.4">
      <c r="CY93" s="19"/>
    </row>
    <row r="94" spans="103:103" x14ac:dyDescent="0.4">
      <c r="CY94" s="19"/>
    </row>
    <row r="95" spans="103:103" x14ac:dyDescent="0.4">
      <c r="CY95" s="19"/>
    </row>
    <row r="96" spans="103:103" x14ac:dyDescent="0.4">
      <c r="CY96" s="19"/>
    </row>
    <row r="97" spans="103:103" x14ac:dyDescent="0.4">
      <c r="CY97" s="19"/>
    </row>
    <row r="98" spans="103:103" x14ac:dyDescent="0.4">
      <c r="CY98" s="19"/>
    </row>
    <row r="99" spans="103:103" x14ac:dyDescent="0.4">
      <c r="CY99" s="19"/>
    </row>
    <row r="100" spans="103:103" x14ac:dyDescent="0.4">
      <c r="CY100" s="19"/>
    </row>
    <row r="101" spans="103:103" x14ac:dyDescent="0.4">
      <c r="CY101" s="19"/>
    </row>
    <row r="102" spans="103:103" x14ac:dyDescent="0.4">
      <c r="CY102" s="19"/>
    </row>
    <row r="103" spans="103:103" x14ac:dyDescent="0.4">
      <c r="CY103" s="19"/>
    </row>
    <row r="104" spans="103:103" x14ac:dyDescent="0.4">
      <c r="CY104" s="19"/>
    </row>
    <row r="105" spans="103:103" x14ac:dyDescent="0.4">
      <c r="CY105" s="19"/>
    </row>
    <row r="106" spans="103:103" x14ac:dyDescent="0.4">
      <c r="CY106" s="19"/>
    </row>
    <row r="107" spans="103:103" x14ac:dyDescent="0.4">
      <c r="CY107" s="19"/>
    </row>
    <row r="108" spans="103:103" x14ac:dyDescent="0.4">
      <c r="CY108" s="19"/>
    </row>
    <row r="109" spans="103:103" x14ac:dyDescent="0.4">
      <c r="CY109" s="19"/>
    </row>
    <row r="110" spans="103:103" x14ac:dyDescent="0.4">
      <c r="CY110" s="19"/>
    </row>
    <row r="111" spans="103:103" x14ac:dyDescent="0.4">
      <c r="CY111" s="19"/>
    </row>
    <row r="112" spans="103:103" x14ac:dyDescent="0.4">
      <c r="CY112" s="19"/>
    </row>
    <row r="113" spans="103:103" x14ac:dyDescent="0.4">
      <c r="CY113" s="19"/>
    </row>
    <row r="114" spans="103:103" x14ac:dyDescent="0.4">
      <c r="CY114" s="19"/>
    </row>
  </sheetData>
  <sheetProtection sheet="1" selectLockedCells="1"/>
  <mergeCells count="174">
    <mergeCell ref="A9:X9"/>
    <mergeCell ref="CD12:CK12"/>
    <mergeCell ref="A1:BC2"/>
    <mergeCell ref="BS4:BS5"/>
    <mergeCell ref="BT4:BU4"/>
    <mergeCell ref="BV4:BW4"/>
    <mergeCell ref="BX4:BY4"/>
    <mergeCell ref="BW13:BW16"/>
    <mergeCell ref="BX13:BX16"/>
    <mergeCell ref="BY13:BY16"/>
    <mergeCell ref="CB13:CC13"/>
    <mergeCell ref="A16:BC16"/>
    <mergeCell ref="BQ13:BQ16"/>
    <mergeCell ref="BR13:BR16"/>
    <mergeCell ref="BS13:BS16"/>
    <mergeCell ref="BT13:BT16"/>
    <mergeCell ref="BU13:BU16"/>
    <mergeCell ref="BV13:BV16"/>
    <mergeCell ref="BK13:BK16"/>
    <mergeCell ref="BL13:BL16"/>
    <mergeCell ref="BM13:BM16"/>
    <mergeCell ref="BN13:BN16"/>
    <mergeCell ref="BO13:BO16"/>
    <mergeCell ref="BP13:BP16"/>
    <mergeCell ref="A13:BC13"/>
    <mergeCell ref="BF13:BF16"/>
    <mergeCell ref="BG13:BG16"/>
    <mergeCell ref="BH13:BH16"/>
    <mergeCell ref="BI13:BI16"/>
    <mergeCell ref="BJ13:BJ16"/>
    <mergeCell ref="AP17:AT20"/>
    <mergeCell ref="AU17:BC20"/>
    <mergeCell ref="B21:F21"/>
    <mergeCell ref="G21:M21"/>
    <mergeCell ref="N21:U21"/>
    <mergeCell ref="V21:AB21"/>
    <mergeCell ref="AC21:AI21"/>
    <mergeCell ref="AJ21:AO21"/>
    <mergeCell ref="AP21:AT21"/>
    <mergeCell ref="AU21:BC21"/>
    <mergeCell ref="B17:F20"/>
    <mergeCell ref="G17:M20"/>
    <mergeCell ref="N17:U20"/>
    <mergeCell ref="V17:AB20"/>
    <mergeCell ref="AC17:AI20"/>
    <mergeCell ref="AJ17:AO20"/>
    <mergeCell ref="AP22:AT22"/>
    <mergeCell ref="AU22:BC22"/>
    <mergeCell ref="B23:F23"/>
    <mergeCell ref="G23:M23"/>
    <mergeCell ref="N23:U23"/>
    <mergeCell ref="V23:AB23"/>
    <mergeCell ref="AC23:AI23"/>
    <mergeCell ref="AJ23:AO23"/>
    <mergeCell ref="AP23:AT23"/>
    <mergeCell ref="AU23:BC23"/>
    <mergeCell ref="B22:F22"/>
    <mergeCell ref="G22:M22"/>
    <mergeCell ref="N22:U22"/>
    <mergeCell ref="V22:AB22"/>
    <mergeCell ref="AC22:AI22"/>
    <mergeCell ref="AJ22:AO22"/>
    <mergeCell ref="AJ26:AO26"/>
    <mergeCell ref="AP24:AT24"/>
    <mergeCell ref="AU24:BC24"/>
    <mergeCell ref="B25:F25"/>
    <mergeCell ref="G25:M25"/>
    <mergeCell ref="N25:U25"/>
    <mergeCell ref="V25:AB25"/>
    <mergeCell ref="AC25:AI25"/>
    <mergeCell ref="AJ25:AO25"/>
    <mergeCell ref="AP25:AT25"/>
    <mergeCell ref="AU25:BC25"/>
    <mergeCell ref="B24:F24"/>
    <mergeCell ref="G24:M24"/>
    <mergeCell ref="N24:U24"/>
    <mergeCell ref="V24:AB24"/>
    <mergeCell ref="AC24:AI24"/>
    <mergeCell ref="AJ24:AO24"/>
    <mergeCell ref="BU26:BU27"/>
    <mergeCell ref="BV26:BV27"/>
    <mergeCell ref="BW26:BW27"/>
    <mergeCell ref="BX26:BX27"/>
    <mergeCell ref="BY26:BY27"/>
    <mergeCell ref="CA26:CC27"/>
    <mergeCell ref="AP26:AT26"/>
    <mergeCell ref="AU26:BC26"/>
    <mergeCell ref="BM26:BM27"/>
    <mergeCell ref="BN26:BN27"/>
    <mergeCell ref="BS26:BS27"/>
    <mergeCell ref="BT26:BT27"/>
    <mergeCell ref="AP27:AT27"/>
    <mergeCell ref="AU27:BC27"/>
    <mergeCell ref="CA28:CC28"/>
    <mergeCell ref="CD28:CK28"/>
    <mergeCell ref="B29:BC29"/>
    <mergeCell ref="CB29:CC29"/>
    <mergeCell ref="B28:F28"/>
    <mergeCell ref="G28:M28"/>
    <mergeCell ref="N28:U28"/>
    <mergeCell ref="V28:AB28"/>
    <mergeCell ref="AC28:AI28"/>
    <mergeCell ref="AJ28:AO28"/>
    <mergeCell ref="BL34:BN34"/>
    <mergeCell ref="CA35:CC35"/>
    <mergeCell ref="CD35:CK35"/>
    <mergeCell ref="BG36:BH36"/>
    <mergeCell ref="CB36:CC36"/>
    <mergeCell ref="J37:T37"/>
    <mergeCell ref="V37:AF37"/>
    <mergeCell ref="AH37:AR37"/>
    <mergeCell ref="BG37:BH37"/>
    <mergeCell ref="BG34:BH35"/>
    <mergeCell ref="BI34:BK34"/>
    <mergeCell ref="CB44:CC44"/>
    <mergeCell ref="B46:I46"/>
    <mergeCell ref="B41:I41"/>
    <mergeCell ref="L41:R41"/>
    <mergeCell ref="X41:AD41"/>
    <mergeCell ref="AJ41:AP41"/>
    <mergeCell ref="BG42:BH42"/>
    <mergeCell ref="B43:I43"/>
    <mergeCell ref="L43:R43"/>
    <mergeCell ref="X43:AD43"/>
    <mergeCell ref="AJ43:AP43"/>
    <mergeCell ref="BG41:BH41"/>
    <mergeCell ref="C49:I49"/>
    <mergeCell ref="C54:I54"/>
    <mergeCell ref="C56:I56"/>
    <mergeCell ref="A4:BC7"/>
    <mergeCell ref="C14:F14"/>
    <mergeCell ref="G14:I14"/>
    <mergeCell ref="S14:V14"/>
    <mergeCell ref="C10:L10"/>
    <mergeCell ref="B45:I45"/>
    <mergeCell ref="L45:R45"/>
    <mergeCell ref="X45:AD45"/>
    <mergeCell ref="AJ45:AP45"/>
    <mergeCell ref="J38:T38"/>
    <mergeCell ref="V38:AF38"/>
    <mergeCell ref="AH38:AR38"/>
    <mergeCell ref="B40:I40"/>
    <mergeCell ref="L40:R40"/>
    <mergeCell ref="X40:AD40"/>
    <mergeCell ref="AJ40:AP40"/>
    <mergeCell ref="B30:BC30"/>
    <mergeCell ref="B31:BC31"/>
    <mergeCell ref="D33:BC33"/>
    <mergeCell ref="D32:BD32"/>
    <mergeCell ref="AC26:AI26"/>
    <mergeCell ref="BG38:BH38"/>
    <mergeCell ref="B42:I42"/>
    <mergeCell ref="L42:R42"/>
    <mergeCell ref="X42:AD42"/>
    <mergeCell ref="AJ42:AP42"/>
    <mergeCell ref="U10:AD10"/>
    <mergeCell ref="M10:R10"/>
    <mergeCell ref="AE10:AJ10"/>
    <mergeCell ref="AM10:AV10"/>
    <mergeCell ref="AW10:BB10"/>
    <mergeCell ref="BG39:BH39"/>
    <mergeCell ref="BG40:BH40"/>
    <mergeCell ref="AP28:AT28"/>
    <mergeCell ref="AU28:BC28"/>
    <mergeCell ref="B27:F27"/>
    <mergeCell ref="G27:M27"/>
    <mergeCell ref="N27:U27"/>
    <mergeCell ref="V27:AB27"/>
    <mergeCell ref="AC27:AI27"/>
    <mergeCell ref="AJ27:AO27"/>
    <mergeCell ref="B26:F26"/>
    <mergeCell ref="G26:M26"/>
    <mergeCell ref="N26:U26"/>
    <mergeCell ref="V26:AB26"/>
  </mergeCells>
  <phoneticPr fontId="2"/>
  <dataValidations count="10">
    <dataValidation allowBlank="1" showInputMessage="1" showErrorMessage="1" error="整数を入力してください。_x000a_マイナスの場合は、0を入力してください。" sqref="BG17:BJ24" xr:uid="{00000000-0002-0000-0000-000000000000}"/>
    <dataValidation type="list" allowBlank="1" showInputMessage="1" showErrorMessage="1" error="加入期間を選択してください。" sqref="K15:O15" xr:uid="{00000000-0002-0000-0000-000001000000}">
      <formula1>#REF!</formula1>
    </dataValidation>
    <dataValidation type="list" allowBlank="1" showInputMessage="1" showErrorMessage="1" error="選択してください。" sqref="AU21:BC28" xr:uid="{00000000-0002-0000-0000-000002000000}">
      <formula1>"所得金額調整控除該当"</formula1>
    </dataValidation>
    <dataValidation allowBlank="1" showInputMessage="1" showErrorMessage="1" error="選択してください。" sqref="AP22:AT28" xr:uid="{00000000-0002-0000-0000-000003000000}"/>
    <dataValidation type="list" allowBlank="1" showInputMessage="1" showErrorMessage="1" error="選択してください。" sqref="AP21:AT21" xr:uid="{00000000-0002-0000-0000-000004000000}">
      <formula1>"擬制世帯主"</formula1>
    </dataValidation>
    <dataValidation type="list" allowBlank="1" showInputMessage="1" showErrorMessage="1" error="年齢区分を選択してください。" sqref="G22:M28" xr:uid="{00000000-0002-0000-0000-000005000000}">
      <formula1>"0歳～6歳,7歳～39歳,40歳～64歳,65歳～74歳"</formula1>
    </dataValidation>
    <dataValidation type="list" allowBlank="1" showInputMessage="1" showErrorMessage="1" error="選択してください。" sqref="AJ21:AO28" xr:uid="{00000000-0002-0000-0000-000006000000}">
      <formula1>"非自発的失業"</formula1>
    </dataValidation>
    <dataValidation imeMode="off" allowBlank="1" showInputMessage="1" showErrorMessage="1" sqref="BG2:BR9 BS3:BY10 BG1:CD1 A8:BC8 BZ2:CD9 A12:BC13 N21:AI28 A1 BD1:BD8 B3:BC3 A3:A4 CE1:CX9 CZ1:XFD9 CY1:CY114" xr:uid="{00000000-0002-0000-0000-000007000000}"/>
    <dataValidation type="list" allowBlank="1" showInputMessage="1" showErrorMessage="1" sqref="G14:I14" xr:uid="{00000000-0002-0000-0000-000008000000}">
      <formula1>$CR$13:$CR$24</formula1>
    </dataValidation>
    <dataValidation type="list" allowBlank="1" showInputMessage="1" showErrorMessage="1" error="年齢区分を選択してください。" sqref="G21:M21" xr:uid="{00000000-0002-0000-0000-000009000000}">
      <formula1>"0歳～39歳,40歳～64歳,65歳～74歳"</formula1>
    </dataValidation>
  </dataValidations>
  <pageMargins left="0.7" right="0.7" top="0.75" bottom="0.75" header="0.3" footer="0.3"/>
  <pageSetup paperSize="9" scale="48" orientation="portrait" r:id="rId1"/>
  <colBreaks count="1" manualBreakCount="1"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岩倉市国保税試算</vt:lpstr>
      <vt:lpstr>岩倉市国保税試算!Print_Area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2025-04-03T02:34:10Z</dcterms:modified>
</cp:coreProperties>
</file>